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workbookProtection lockStructure="1"/>
  <bookViews>
    <workbookView xWindow="0" yWindow="0" windowWidth="25600" windowHeight="14320" tabRatio="500" firstSheet="2" activeTab="3"/>
  </bookViews>
  <sheets>
    <sheet name="Instructions" sheetId="5" r:id="rId1"/>
    <sheet name="Garden Data Entry" sheetId="2" r:id="rId2"/>
    <sheet name="Planting Dates" sheetId="6" r:id="rId3"/>
    <sheet name="Storage Crop Calculator" sheetId="4" r:id="rId4"/>
    <sheet name="Personal Calendar" sheetId="7" r:id="rId5"/>
    <sheet name="Ref" sheetId="3" r:id="rId6"/>
  </sheets>
  <definedNames>
    <definedName name="PlantingCalendar">'Planting Dates'!$A$3:$K$64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 i="4" l="1"/>
  <c r="H5" i="4"/>
  <c r="H6" i="4"/>
  <c r="H7" i="4"/>
  <c r="H8" i="4"/>
  <c r="H9" i="4"/>
  <c r="H10" i="4"/>
  <c r="H11" i="4"/>
  <c r="H12" i="4"/>
  <c r="H13" i="4"/>
  <c r="H14" i="4"/>
  <c r="H15" i="4"/>
  <c r="H16" i="4"/>
  <c r="H17" i="4"/>
  <c r="H18" i="4"/>
  <c r="H19" i="4"/>
  <c r="F3" i="4"/>
  <c r="H3" i="4"/>
  <c r="J19" i="4"/>
  <c r="J18" i="4"/>
  <c r="J17" i="4"/>
  <c r="J16" i="4"/>
  <c r="J15" i="4"/>
  <c r="J14" i="4"/>
  <c r="J13" i="4"/>
  <c r="J12" i="4"/>
  <c r="J11" i="4"/>
  <c r="J10" i="4"/>
  <c r="J9" i="4"/>
  <c r="J8" i="4"/>
  <c r="J7" i="4"/>
  <c r="J6" i="4"/>
  <c r="J5" i="4"/>
  <c r="J3" i="4"/>
  <c r="I19" i="4"/>
  <c r="I18" i="4"/>
  <c r="I17" i="4"/>
  <c r="I16" i="4"/>
  <c r="I15" i="4"/>
  <c r="I14" i="4"/>
  <c r="I13" i="4"/>
  <c r="I12" i="4"/>
  <c r="I11" i="4"/>
  <c r="I10" i="4"/>
  <c r="I9" i="4"/>
  <c r="I8" i="4"/>
  <c r="I7" i="4"/>
  <c r="I6" i="4"/>
  <c r="I5" i="4"/>
  <c r="I4" i="4"/>
  <c r="J4" i="4"/>
  <c r="I3" i="4"/>
  <c r="L19" i="4"/>
  <c r="L18" i="4"/>
  <c r="L17" i="4"/>
  <c r="L16" i="4"/>
  <c r="L15" i="4"/>
  <c r="L14" i="4"/>
  <c r="L13" i="4"/>
  <c r="L12" i="4"/>
  <c r="L11" i="4"/>
  <c r="L10" i="4"/>
  <c r="L9" i="4"/>
  <c r="L8" i="4"/>
  <c r="L7" i="4"/>
  <c r="L6" i="4"/>
  <c r="L5" i="4"/>
  <c r="L4" i="4"/>
  <c r="K19" i="4"/>
  <c r="K18" i="4"/>
  <c r="K17" i="4"/>
  <c r="K16" i="4"/>
  <c r="K15" i="4"/>
  <c r="K14" i="4"/>
  <c r="K13" i="4"/>
  <c r="K12" i="4"/>
  <c r="K11" i="4"/>
  <c r="K10" i="4"/>
  <c r="K9" i="4"/>
  <c r="K8" i="4"/>
  <c r="K7" i="4"/>
  <c r="K6" i="4"/>
  <c r="K5" i="4"/>
  <c r="K4" i="4"/>
  <c r="L3" i="4"/>
  <c r="K3" i="4"/>
  <c r="A35" i="7"/>
  <c r="A36" i="7"/>
  <c r="A37" i="7"/>
  <c r="A38" i="7"/>
  <c r="A39" i="7"/>
  <c r="A40" i="7"/>
  <c r="A41" i="7"/>
  <c r="A42" i="7"/>
  <c r="A43" i="7"/>
  <c r="A44" i="7"/>
  <c r="A45" i="7"/>
  <c r="A46" i="7"/>
  <c r="A47" i="7"/>
  <c r="A48" i="7"/>
  <c r="A49" i="7"/>
  <c r="A50" i="7"/>
  <c r="A51" i="7"/>
  <c r="A52" i="7"/>
  <c r="A53" i="7"/>
  <c r="A54" i="7"/>
  <c r="A55" i="7"/>
  <c r="A14" i="7"/>
  <c r="A15" i="7"/>
  <c r="A16" i="7"/>
  <c r="A17" i="7"/>
  <c r="A18" i="7"/>
  <c r="A19" i="7"/>
  <c r="A20" i="7"/>
  <c r="A21" i="7"/>
  <c r="A22" i="7"/>
  <c r="A23" i="7"/>
  <c r="A24" i="7"/>
  <c r="A25" i="7"/>
  <c r="A26" i="7"/>
  <c r="A27" i="7"/>
  <c r="A28" i="7"/>
  <c r="A29" i="7"/>
  <c r="A30" i="7"/>
  <c r="A31" i="7"/>
  <c r="A32" i="7"/>
  <c r="A33" i="7"/>
  <c r="A34" i="7"/>
  <c r="A5" i="7"/>
  <c r="A6" i="7"/>
  <c r="A7" i="7"/>
  <c r="A8" i="7"/>
  <c r="A9" i="7"/>
  <c r="A10" i="7"/>
  <c r="A11" i="7"/>
  <c r="A12" i="7"/>
  <c r="A13" i="7"/>
  <c r="A4" i="7"/>
  <c r="B2" i="6"/>
  <c r="B1" i="6"/>
  <c r="D11" i="2"/>
  <c r="B11" i="6"/>
  <c r="J11" i="6"/>
  <c r="D12" i="2"/>
  <c r="B12" i="6"/>
  <c r="J12" i="6"/>
  <c r="D13" i="2"/>
  <c r="B13" i="6"/>
  <c r="J13" i="6"/>
  <c r="D14" i="2"/>
  <c r="B14" i="6"/>
  <c r="J14" i="6"/>
  <c r="D15" i="2"/>
  <c r="B15" i="6"/>
  <c r="J15" i="6"/>
  <c r="D16" i="2"/>
  <c r="B16" i="6"/>
  <c r="J16" i="6"/>
  <c r="D17" i="2"/>
  <c r="B17" i="6"/>
  <c r="J17" i="6"/>
  <c r="D18" i="2"/>
  <c r="B18" i="6"/>
  <c r="J18" i="6"/>
  <c r="D19" i="2"/>
  <c r="B19" i="6"/>
  <c r="J19" i="6"/>
  <c r="D20" i="2"/>
  <c r="B20" i="6"/>
  <c r="J20" i="6"/>
  <c r="D21" i="2"/>
  <c r="B21" i="6"/>
  <c r="J21" i="6"/>
  <c r="D22" i="2"/>
  <c r="B22" i="6"/>
  <c r="J22" i="6"/>
  <c r="D23" i="2"/>
  <c r="B23" i="6"/>
  <c r="J23" i="6"/>
  <c r="D24" i="2"/>
  <c r="B24" i="6"/>
  <c r="J24" i="6"/>
  <c r="D25" i="2"/>
  <c r="B25" i="6"/>
  <c r="J25" i="6"/>
  <c r="D26" i="2"/>
  <c r="B26" i="6"/>
  <c r="J26" i="6"/>
  <c r="D27" i="2"/>
  <c r="B27" i="6"/>
  <c r="J27" i="6"/>
  <c r="D28" i="2"/>
  <c r="B28" i="6"/>
  <c r="J28" i="6"/>
  <c r="D29" i="2"/>
  <c r="B29" i="6"/>
  <c r="J29" i="6"/>
  <c r="D30" i="2"/>
  <c r="B30" i="6"/>
  <c r="J30" i="6"/>
  <c r="D31" i="2"/>
  <c r="B31" i="6"/>
  <c r="J31" i="6"/>
  <c r="D32" i="2"/>
  <c r="B32" i="6"/>
  <c r="J32" i="6"/>
  <c r="D33" i="2"/>
  <c r="B33" i="6"/>
  <c r="J33" i="6"/>
  <c r="D34" i="2"/>
  <c r="B34" i="6"/>
  <c r="J34" i="6"/>
  <c r="D35" i="2"/>
  <c r="B35" i="6"/>
  <c r="J35" i="6"/>
  <c r="D36" i="2"/>
  <c r="B36" i="6"/>
  <c r="J36" i="6"/>
  <c r="D37" i="2"/>
  <c r="B37" i="6"/>
  <c r="J37" i="6"/>
  <c r="D38" i="2"/>
  <c r="B38" i="6"/>
  <c r="J38" i="6"/>
  <c r="D39" i="2"/>
  <c r="B39" i="6"/>
  <c r="J39" i="6"/>
  <c r="D40" i="2"/>
  <c r="B40" i="6"/>
  <c r="J40" i="6"/>
  <c r="D41" i="2"/>
  <c r="B41" i="6"/>
  <c r="J41" i="6"/>
  <c r="D42" i="2"/>
  <c r="B42" i="6"/>
  <c r="J42" i="6"/>
  <c r="D43" i="2"/>
  <c r="B43" i="6"/>
  <c r="J43" i="6"/>
  <c r="D44" i="2"/>
  <c r="B44" i="6"/>
  <c r="J44" i="6"/>
  <c r="D45" i="2"/>
  <c r="B45" i="6"/>
  <c r="J45" i="6"/>
  <c r="D46" i="2"/>
  <c r="B46" i="6"/>
  <c r="J46" i="6"/>
  <c r="D47" i="2"/>
  <c r="B47" i="6"/>
  <c r="J47" i="6"/>
  <c r="D48" i="2"/>
  <c r="B48" i="6"/>
  <c r="J48" i="6"/>
  <c r="D49" i="2"/>
  <c r="B49" i="6"/>
  <c r="J49" i="6"/>
  <c r="D50" i="2"/>
  <c r="B50" i="6"/>
  <c r="J50" i="6"/>
  <c r="D51" i="2"/>
  <c r="B51" i="6"/>
  <c r="J51" i="6"/>
  <c r="D52" i="2"/>
  <c r="B52" i="6"/>
  <c r="J52" i="6"/>
  <c r="D53" i="2"/>
  <c r="B53" i="6"/>
  <c r="J53" i="6"/>
  <c r="D54" i="2"/>
  <c r="B54" i="6"/>
  <c r="J54" i="6"/>
  <c r="D55" i="2"/>
  <c r="B55" i="6"/>
  <c r="J55" i="6"/>
  <c r="D56" i="2"/>
  <c r="B56" i="6"/>
  <c r="J56" i="6"/>
  <c r="D57" i="2"/>
  <c r="B57" i="6"/>
  <c r="J57" i="6"/>
  <c r="D58" i="2"/>
  <c r="B58" i="6"/>
  <c r="J58" i="6"/>
  <c r="D59" i="2"/>
  <c r="B59" i="6"/>
  <c r="J59" i="6"/>
  <c r="D60" i="2"/>
  <c r="B60" i="6"/>
  <c r="J60" i="6"/>
  <c r="D61" i="2"/>
  <c r="B61" i="6"/>
  <c r="J61" i="6"/>
  <c r="D62" i="2"/>
  <c r="B62" i="6"/>
  <c r="J62" i="6"/>
  <c r="D63" i="2"/>
  <c r="B63" i="6"/>
  <c r="J63" i="6"/>
  <c r="D64" i="2"/>
  <c r="B64" i="6"/>
  <c r="J64" i="6"/>
  <c r="D7" i="2"/>
  <c r="B7" i="6"/>
  <c r="J7" i="6"/>
  <c r="D8" i="2"/>
  <c r="B8" i="6"/>
  <c r="J8" i="6"/>
  <c r="D9" i="2"/>
  <c r="B9" i="6"/>
  <c r="J9" i="6"/>
  <c r="D10" i="2"/>
  <c r="B10" i="6"/>
  <c r="J10" i="6"/>
  <c r="D6" i="2"/>
  <c r="B6" i="6"/>
  <c r="J6" i="6"/>
  <c r="D5" i="2"/>
  <c r="B5" i="6"/>
  <c r="J5"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 i="6"/>
  <c r="K5" i="6"/>
  <c r="D9" i="6"/>
  <c r="F9" i="6"/>
  <c r="I9" i="6"/>
  <c r="D10" i="6"/>
  <c r="F10" i="6"/>
  <c r="I10" i="6"/>
  <c r="D11" i="6"/>
  <c r="F11" i="6"/>
  <c r="I11" i="6"/>
  <c r="D12" i="6"/>
  <c r="F12" i="6"/>
  <c r="I12" i="6"/>
  <c r="I13" i="6"/>
  <c r="D14" i="6"/>
  <c r="F14" i="6"/>
  <c r="I14" i="6"/>
  <c r="D15" i="6"/>
  <c r="F15" i="6"/>
  <c r="I15" i="6"/>
  <c r="D16" i="6"/>
  <c r="F16" i="6"/>
  <c r="I16" i="6"/>
  <c r="D17" i="6"/>
  <c r="F17" i="6"/>
  <c r="I17" i="6"/>
  <c r="I18" i="6"/>
  <c r="D19" i="6"/>
  <c r="F19" i="6"/>
  <c r="I19" i="6"/>
  <c r="D20" i="6"/>
  <c r="F20" i="6"/>
  <c r="I20" i="6"/>
  <c r="D21" i="6"/>
  <c r="F21" i="6"/>
  <c r="I21" i="6"/>
  <c r="D22" i="6"/>
  <c r="F22" i="6"/>
  <c r="I22" i="6"/>
  <c r="I23" i="6"/>
  <c r="F24" i="6"/>
  <c r="I24" i="6"/>
  <c r="D25" i="6"/>
  <c r="F25" i="6"/>
  <c r="I25" i="6"/>
  <c r="D26" i="6"/>
  <c r="F26" i="6"/>
  <c r="I26" i="6"/>
  <c r="D27" i="6"/>
  <c r="F27" i="6"/>
  <c r="I27" i="6"/>
  <c r="D28" i="6"/>
  <c r="F28" i="6"/>
  <c r="I28" i="6"/>
  <c r="D29" i="6"/>
  <c r="F29" i="6"/>
  <c r="I29" i="6"/>
  <c r="D30" i="6"/>
  <c r="F30" i="6"/>
  <c r="I30" i="6"/>
  <c r="I31" i="6"/>
  <c r="D32" i="6"/>
  <c r="F32" i="6"/>
  <c r="I32" i="6"/>
  <c r="D33" i="6"/>
  <c r="F33" i="6"/>
  <c r="I33" i="6"/>
  <c r="D34" i="6"/>
  <c r="F34" i="6"/>
  <c r="I34" i="6"/>
  <c r="I35" i="6"/>
  <c r="I36" i="6"/>
  <c r="F37" i="6"/>
  <c r="I37" i="6"/>
  <c r="D38" i="6"/>
  <c r="F38" i="6"/>
  <c r="I38" i="6"/>
  <c r="D39" i="6"/>
  <c r="F39" i="6"/>
  <c r="I39" i="6"/>
  <c r="D40" i="6"/>
  <c r="F40" i="6"/>
  <c r="I40" i="6"/>
  <c r="C41" i="6"/>
  <c r="F41" i="6"/>
  <c r="I41" i="6"/>
  <c r="D42" i="6"/>
  <c r="F42" i="6"/>
  <c r="I42" i="6"/>
  <c r="I43" i="6"/>
  <c r="D44" i="6"/>
  <c r="F44" i="6"/>
  <c r="I44" i="6"/>
  <c r="F45" i="6"/>
  <c r="I45" i="6"/>
  <c r="C46" i="6"/>
  <c r="F46" i="6"/>
  <c r="I46" i="6"/>
  <c r="C47" i="6"/>
  <c r="F47" i="6"/>
  <c r="I47" i="6"/>
  <c r="D48" i="6"/>
  <c r="F48" i="6"/>
  <c r="I48" i="6"/>
  <c r="D49" i="6"/>
  <c r="F49" i="6"/>
  <c r="I49" i="6"/>
  <c r="I50" i="6"/>
  <c r="D51" i="6"/>
  <c r="F51" i="6"/>
  <c r="I51" i="6"/>
  <c r="C52" i="6"/>
  <c r="F52" i="6"/>
  <c r="I52" i="6"/>
  <c r="I53" i="6"/>
  <c r="I54" i="6"/>
  <c r="D55" i="6"/>
  <c r="F55" i="6"/>
  <c r="I55" i="6"/>
  <c r="D56" i="6"/>
  <c r="F56" i="6"/>
  <c r="I56" i="6"/>
  <c r="D57" i="6"/>
  <c r="F57" i="6"/>
  <c r="I57" i="6"/>
  <c r="C58" i="6"/>
  <c r="F58" i="6"/>
  <c r="I58" i="6"/>
  <c r="C59" i="6"/>
  <c r="F59" i="6"/>
  <c r="I59" i="6"/>
  <c r="I60" i="6"/>
  <c r="C61" i="6"/>
  <c r="F61" i="6"/>
  <c r="I61" i="6"/>
  <c r="C62" i="6"/>
  <c r="F62" i="6"/>
  <c r="I62" i="6"/>
  <c r="I63" i="6"/>
  <c r="C64" i="6"/>
  <c r="F64" i="6"/>
  <c r="I64" i="6"/>
  <c r="D6" i="6"/>
  <c r="F6" i="6"/>
  <c r="I6" i="6"/>
  <c r="D7" i="6"/>
  <c r="F7" i="6"/>
  <c r="I7" i="6"/>
  <c r="F8" i="6"/>
  <c r="I8" i="6"/>
  <c r="I5" i="6"/>
  <c r="H45" i="6"/>
  <c r="H37" i="6"/>
  <c r="H7" i="6"/>
  <c r="D8" i="6"/>
  <c r="H8" i="6"/>
  <c r="H9" i="6"/>
  <c r="H10" i="6"/>
  <c r="H11" i="6"/>
  <c r="H12" i="6"/>
  <c r="H13" i="6"/>
  <c r="H14" i="6"/>
  <c r="H15" i="6"/>
  <c r="H16" i="6"/>
  <c r="H17" i="6"/>
  <c r="H18" i="6"/>
  <c r="H19" i="6"/>
  <c r="H20" i="6"/>
  <c r="H21" i="6"/>
  <c r="H22" i="6"/>
  <c r="H23" i="6"/>
  <c r="D24" i="6"/>
  <c r="H24" i="6"/>
  <c r="H25" i="6"/>
  <c r="H26" i="6"/>
  <c r="H27" i="6"/>
  <c r="H28" i="6"/>
  <c r="H29" i="6"/>
  <c r="H30" i="6"/>
  <c r="H31" i="6"/>
  <c r="H32" i="6"/>
  <c r="H33" i="6"/>
  <c r="H34" i="6"/>
  <c r="D35" i="6"/>
  <c r="H35" i="6"/>
  <c r="H36" i="6"/>
  <c r="H38" i="6"/>
  <c r="H39" i="6"/>
  <c r="H40" i="6"/>
  <c r="D41" i="6"/>
  <c r="H41" i="6"/>
  <c r="H42" i="6"/>
  <c r="H43" i="6"/>
  <c r="H44" i="6"/>
  <c r="D46" i="6"/>
  <c r="H46" i="6"/>
  <c r="D47" i="6"/>
  <c r="H47" i="6"/>
  <c r="H48" i="6"/>
  <c r="H49" i="6"/>
  <c r="H50" i="6"/>
  <c r="H51" i="6"/>
  <c r="D52" i="6"/>
  <c r="H52" i="6"/>
  <c r="H53" i="6"/>
  <c r="H54" i="6"/>
  <c r="H55" i="6"/>
  <c r="H56" i="6"/>
  <c r="H57" i="6"/>
  <c r="D58" i="6"/>
  <c r="H58" i="6"/>
  <c r="D59" i="6"/>
  <c r="H59" i="6"/>
  <c r="H60" i="6"/>
  <c r="D61" i="6"/>
  <c r="H61" i="6"/>
  <c r="D62" i="6"/>
  <c r="H62" i="6"/>
  <c r="H63" i="6"/>
  <c r="D64" i="6"/>
  <c r="H64" i="6"/>
  <c r="H6" i="6"/>
  <c r="H5" i="6"/>
  <c r="D63" i="6"/>
  <c r="F63" i="6"/>
  <c r="C60" i="6"/>
  <c r="F60" i="6"/>
  <c r="D54" i="6"/>
  <c r="F54" i="6"/>
  <c r="D53" i="6"/>
  <c r="F53" i="6"/>
  <c r="D50" i="6"/>
  <c r="F50" i="6"/>
  <c r="F43" i="6"/>
  <c r="E40" i="6"/>
  <c r="E38" i="6"/>
  <c r="F36" i="6"/>
  <c r="E64" i="6"/>
  <c r="C63" i="6"/>
  <c r="E63" i="6"/>
  <c r="E62" i="6"/>
  <c r="E61" i="6"/>
  <c r="E60" i="6"/>
  <c r="E59" i="6"/>
  <c r="E58" i="6"/>
  <c r="E57" i="6"/>
  <c r="E56" i="6"/>
  <c r="C55" i="6"/>
  <c r="E55" i="6"/>
  <c r="E54" i="6"/>
  <c r="C53" i="6"/>
  <c r="E53" i="6"/>
  <c r="E52" i="6"/>
  <c r="C51" i="6"/>
  <c r="E51" i="6"/>
  <c r="E50" i="6"/>
  <c r="E49" i="6"/>
  <c r="E48" i="6"/>
  <c r="E47" i="6"/>
  <c r="E46" i="6"/>
  <c r="C45" i="6"/>
  <c r="E45" i="6"/>
  <c r="C44" i="6"/>
  <c r="E44" i="6"/>
  <c r="E43" i="6"/>
  <c r="C42" i="6"/>
  <c r="E42" i="6"/>
  <c r="E41" i="6"/>
  <c r="E39" i="6"/>
  <c r="E37" i="6"/>
  <c r="C36" i="6"/>
  <c r="E36" i="6"/>
  <c r="C35" i="6"/>
  <c r="E35" i="6"/>
  <c r="C34" i="6"/>
  <c r="E34" i="6"/>
  <c r="C33" i="6"/>
  <c r="E33" i="6"/>
  <c r="C32" i="6"/>
  <c r="E32" i="6"/>
  <c r="F31" i="6"/>
  <c r="E31" i="6"/>
  <c r="C30" i="6"/>
  <c r="E30" i="6"/>
  <c r="C29" i="6"/>
  <c r="E29" i="6"/>
  <c r="F5" i="6"/>
  <c r="C27" i="6"/>
  <c r="E27" i="6"/>
  <c r="C26" i="6"/>
  <c r="E26" i="6"/>
  <c r="C25" i="6"/>
  <c r="E25" i="6"/>
  <c r="E24" i="6"/>
  <c r="C22" i="6"/>
  <c r="E22" i="6"/>
  <c r="C21" i="6"/>
  <c r="E21" i="6"/>
  <c r="C20" i="6"/>
  <c r="E20" i="6"/>
  <c r="C19" i="6"/>
  <c r="E19" i="6"/>
  <c r="C18" i="6"/>
  <c r="E18" i="6"/>
  <c r="C17" i="6"/>
  <c r="E17" i="6"/>
  <c r="C16" i="6"/>
  <c r="E16" i="6"/>
  <c r="C15" i="6"/>
  <c r="E15" i="6"/>
  <c r="C14" i="6"/>
  <c r="E14" i="6"/>
  <c r="C13" i="6"/>
  <c r="E13" i="6"/>
  <c r="F13" i="6"/>
  <c r="C12" i="6"/>
  <c r="E12" i="6"/>
  <c r="C11" i="6"/>
  <c r="E11" i="6"/>
  <c r="C10" i="6"/>
  <c r="E10" i="6"/>
  <c r="C9" i="6"/>
  <c r="E9" i="6"/>
  <c r="C7" i="6"/>
  <c r="E7" i="6"/>
  <c r="C6" i="6"/>
  <c r="E6" i="6"/>
  <c r="D1" i="6"/>
  <c r="C28" i="6"/>
  <c r="E28" i="6"/>
  <c r="E23" i="6"/>
  <c r="F23" i="6"/>
  <c r="E8" i="6"/>
  <c r="E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A11" i="6"/>
  <c r="F18" i="6"/>
  <c r="A15" i="6"/>
  <c r="D60" i="6"/>
  <c r="D45" i="6"/>
  <c r="D43" i="6"/>
  <c r="D37" i="6"/>
  <c r="D36" i="6"/>
  <c r="D31" i="6"/>
  <c r="D23" i="6"/>
  <c r="D18" i="6"/>
  <c r="D13" i="6"/>
  <c r="D5" i="6"/>
  <c r="G5" i="6"/>
  <c r="C57" i="6"/>
  <c r="C56" i="6"/>
  <c r="C54" i="6"/>
  <c r="C50" i="6"/>
  <c r="C49" i="6"/>
  <c r="C48" i="6"/>
  <c r="C43" i="6"/>
  <c r="C40" i="6"/>
  <c r="C39" i="6"/>
  <c r="C37" i="6"/>
  <c r="C38" i="6"/>
  <c r="C31" i="6"/>
  <c r="C24" i="6"/>
  <c r="C23" i="6"/>
  <c r="C8" i="6"/>
  <c r="C5" i="6"/>
  <c r="A51" i="6"/>
  <c r="A52" i="6"/>
  <c r="A53" i="6"/>
  <c r="A54" i="6"/>
  <c r="A55" i="6"/>
  <c r="A56" i="6"/>
  <c r="A57" i="6"/>
  <c r="A58" i="6"/>
  <c r="A59" i="6"/>
  <c r="A60" i="6"/>
  <c r="A61" i="6"/>
  <c r="A62" i="6"/>
  <c r="A63" i="6"/>
  <c r="A64" i="6"/>
  <c r="A6" i="6"/>
  <c r="A7" i="6"/>
  <c r="A8" i="6"/>
  <c r="A9" i="6"/>
  <c r="A10" i="6"/>
  <c r="A12" i="6"/>
  <c r="A13" i="6"/>
  <c r="A14"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 i="6"/>
  <c r="F4" i="4"/>
  <c r="F5" i="4"/>
  <c r="F6" i="4"/>
  <c r="F7" i="4"/>
  <c r="F8" i="4"/>
  <c r="F9" i="4"/>
  <c r="F10" i="4"/>
  <c r="F11" i="4"/>
  <c r="F12" i="4"/>
  <c r="F13" i="4"/>
  <c r="F14" i="4"/>
  <c r="F15" i="4"/>
  <c r="F16" i="4"/>
  <c r="F17" i="4"/>
  <c r="F18" i="4"/>
  <c r="F19" i="4"/>
</calcChain>
</file>

<file path=xl/sharedStrings.xml><?xml version="1.0" encoding="utf-8"?>
<sst xmlns="http://schemas.openxmlformats.org/spreadsheetml/2006/main" count="690" uniqueCount="337">
  <si>
    <t>Annual Vegetables and Herbs</t>
  </si>
  <si>
    <t>Average Serving Size (weights and volumes are for raw produce, before cooking)</t>
  </si>
  <si>
    <t>Arugula</t>
  </si>
  <si>
    <t>4 oz</t>
  </si>
  <si>
    <t>Basil</t>
  </si>
  <si>
    <t>8 leaves or 1 oz</t>
  </si>
  <si>
    <t>Beans, Edible Soy (Edamame)</t>
  </si>
  <si>
    <t>1 cup or 4 oz unshelled</t>
  </si>
  <si>
    <t>Beans, Fava (Broad)</t>
  </si>
  <si>
    <t>8 oz unshelled beans</t>
  </si>
  <si>
    <t>Beans, Lima</t>
  </si>
  <si>
    <t>8 oz fresh, in pods</t>
  </si>
  <si>
    <t>Beans, Snap</t>
  </si>
  <si>
    <t>1 cup or 3.8 oz</t>
  </si>
  <si>
    <t>Beans, Shell</t>
  </si>
  <si>
    <t>20 pods</t>
  </si>
  <si>
    <t>Beets</t>
  </si>
  <si>
    <t>1/2 cup or 3 oz</t>
  </si>
  <si>
    <t>Broccoli</t>
  </si>
  <si>
    <t>3/4 cup or 2.4 oz</t>
  </si>
  <si>
    <t>Brussels Sprouts</t>
  </si>
  <si>
    <t>6 sprouts or about 4 oz</t>
  </si>
  <si>
    <t>Cabbage</t>
  </si>
  <si>
    <t>1 cup or 3 oz</t>
  </si>
  <si>
    <t>Cabbage, Chinese</t>
  </si>
  <si>
    <t>Carrots</t>
  </si>
  <si>
    <t>1 medium or 2.2 oz</t>
  </si>
  <si>
    <t>Cauliflower</t>
  </si>
  <si>
    <t>1/2 cup or 2 oz</t>
  </si>
  <si>
    <t>Celeriac</t>
  </si>
  <si>
    <t>1/2 cup or 2.5 oz</t>
  </si>
  <si>
    <t>Celery</t>
  </si>
  <si>
    <t>Chard, Swiss</t>
  </si>
  <si>
    <t>3 cups raw, chopped or 8 oz</t>
  </si>
  <si>
    <t>Cilantro</t>
  </si>
  <si>
    <t>used as spice, about 0.5 oz</t>
  </si>
  <si>
    <t>Corn, Sweet</t>
  </si>
  <si>
    <t>1 ear or about 2.2 oz kernels</t>
  </si>
  <si>
    <t>Collards</t>
  </si>
  <si>
    <t>Cucumbers</t>
  </si>
  <si>
    <t>1/2 cup or 8 oz</t>
  </si>
  <si>
    <t>Dill</t>
  </si>
  <si>
    <t>Eggplant</t>
  </si>
  <si>
    <t>Endive</t>
  </si>
  <si>
    <t>1 cup or 1.7 oz</t>
  </si>
  <si>
    <t>Fennel, bulbing</t>
  </si>
  <si>
    <t>Garlic</t>
  </si>
  <si>
    <t>1 clove or 0.2 oz</t>
  </si>
  <si>
    <t>Kale</t>
  </si>
  <si>
    <t>Kohlrabi</t>
  </si>
  <si>
    <t>1/2 bulb or about 4 oz</t>
  </si>
  <si>
    <t>Leeks</t>
  </si>
  <si>
    <t>1 cup or 8 oz</t>
  </si>
  <si>
    <t>Lettuce, Heads</t>
  </si>
  <si>
    <t>2 cups or 2 to 4 oz</t>
  </si>
  <si>
    <t>Lettuce, Baby Mix</t>
  </si>
  <si>
    <t>Mache</t>
  </si>
  <si>
    <t>Melon, Cantaloupe, Honeydew</t>
  </si>
  <si>
    <t>Mustard Greens (full size for braising)</t>
  </si>
  <si>
    <t>Okra</t>
  </si>
  <si>
    <t>10 pods or 3.5 oz</t>
  </si>
  <si>
    <t>Onions, Bulb</t>
  </si>
  <si>
    <t>Parsley</t>
  </si>
  <si>
    <t>Parsnips</t>
  </si>
  <si>
    <t>Pac Choi</t>
  </si>
  <si>
    <t>2 cups or 5 oz</t>
  </si>
  <si>
    <t>Peanut</t>
  </si>
  <si>
    <t>1.5-2 oz</t>
  </si>
  <si>
    <t>Peas, Shelling</t>
  </si>
  <si>
    <t xml:space="preserve">8 oz unshelled or 1/2 cup shelled </t>
  </si>
  <si>
    <t>Peas, Snap</t>
  </si>
  <si>
    <t>1 cup or 2.2 oz</t>
  </si>
  <si>
    <t>Peppers, Hot</t>
  </si>
  <si>
    <t>variable, 0.1 oz-1 oz</t>
  </si>
  <si>
    <t>Peppers, Sweet</t>
  </si>
  <si>
    <t>1/2 cup or 2.6 oz</t>
  </si>
  <si>
    <t>Potatoes</t>
  </si>
  <si>
    <t>3-4 oz</t>
  </si>
  <si>
    <t>Raab</t>
  </si>
  <si>
    <t>Radicchio</t>
  </si>
  <si>
    <t>1 cup or 1.4 oz</t>
  </si>
  <si>
    <t>Radishes</t>
  </si>
  <si>
    <t>1/2 cup sliced or 2 oz</t>
  </si>
  <si>
    <t>Rutabagas</t>
  </si>
  <si>
    <t>6-8 oz</t>
  </si>
  <si>
    <t>Scallions</t>
  </si>
  <si>
    <t>1/2 cup or 1.7 oz</t>
  </si>
  <si>
    <t>Spinach</t>
  </si>
  <si>
    <t>1 cup or 1.1 oz</t>
  </si>
  <si>
    <t>Squash, Summer</t>
  </si>
  <si>
    <t>1 cup or 4 oz</t>
  </si>
  <si>
    <t>Squash, Pumpkins</t>
  </si>
  <si>
    <t>8 oz</t>
  </si>
  <si>
    <t>Squash, Winter</t>
  </si>
  <si>
    <t>Sweet Potatoes</t>
  </si>
  <si>
    <t>Tomatillos</t>
  </si>
  <si>
    <t>2-4 oz</t>
  </si>
  <si>
    <t>Tomatoes</t>
  </si>
  <si>
    <t>4 oz (1 medium sized tomato)</t>
  </si>
  <si>
    <t>Turnips</t>
  </si>
  <si>
    <t>Watermelon</t>
  </si>
  <si>
    <t>1/2 cup or 2.7 oz</t>
  </si>
  <si>
    <t>Perennial Vegetables</t>
  </si>
  <si>
    <t>Artichoke</t>
  </si>
  <si>
    <t>1 artichoke or 4.5 oz</t>
  </si>
  <si>
    <t>Asparagus</t>
  </si>
  <si>
    <t>1 cup or 4.5 oz</t>
  </si>
  <si>
    <t>Cardoon</t>
  </si>
  <si>
    <t>2 basal leaves or 4 oz</t>
  </si>
  <si>
    <t>Rhubarb</t>
  </si>
  <si>
    <t>1 stalk or 2.5 oz</t>
  </si>
  <si>
    <t>Jerusalem Artichoke, Sunchoke</t>
  </si>
  <si>
    <t>Perennial "Garden Fruits"</t>
  </si>
  <si>
    <t>Blackberries</t>
  </si>
  <si>
    <t>1/2 cup or about 2 oz</t>
  </si>
  <si>
    <t>Blueberries</t>
  </si>
  <si>
    <t>1/2 cup or about 2.5 oz</t>
  </si>
  <si>
    <t>Currant</t>
  </si>
  <si>
    <t>Elderberry</t>
  </si>
  <si>
    <t>Gooseberry</t>
  </si>
  <si>
    <t>Goji Berry</t>
  </si>
  <si>
    <t>1/4 cup or about 2 oz</t>
  </si>
  <si>
    <t>Huckleberry</t>
  </si>
  <si>
    <t>Jostaberry</t>
  </si>
  <si>
    <t>Lingonberry</t>
  </si>
  <si>
    <t>1 oz</t>
  </si>
  <si>
    <t>Raspberries</t>
  </si>
  <si>
    <t>Strawberries</t>
  </si>
  <si>
    <t>1/2 cup or about 3.5 oz</t>
  </si>
  <si>
    <t>Wintergreen</t>
  </si>
  <si>
    <t>N/A</t>
  </si>
  <si>
    <t>Perennial Herbs</t>
  </si>
  <si>
    <t>Anise Hyssop</t>
  </si>
  <si>
    <t>approx 1 TBSP or about 0.1-0.2 oz</t>
  </si>
  <si>
    <t>Bay</t>
  </si>
  <si>
    <t>Chives</t>
  </si>
  <si>
    <t>Chives, Garlic</t>
  </si>
  <si>
    <t>Fennel</t>
  </si>
  <si>
    <t>Horseradish</t>
  </si>
  <si>
    <t>Lavender</t>
  </si>
  <si>
    <t>Lemon Balm</t>
  </si>
  <si>
    <t>Lemon Verbena</t>
  </si>
  <si>
    <t>Lemongrass</t>
  </si>
  <si>
    <t>Marjoram</t>
  </si>
  <si>
    <t>Mint</t>
  </si>
  <si>
    <t>Oregano</t>
  </si>
  <si>
    <t>Purple Coneflower</t>
  </si>
  <si>
    <t>Rosemary</t>
  </si>
  <si>
    <t>Saffron</t>
  </si>
  <si>
    <t>Sage</t>
  </si>
  <si>
    <t>Savory, Winter</t>
  </si>
  <si>
    <t>Sorrel</t>
  </si>
  <si>
    <t>Stevia</t>
  </si>
  <si>
    <t>Tarragon</t>
  </si>
  <si>
    <t>Tea Camelia</t>
  </si>
  <si>
    <t>Thyme</t>
  </si>
  <si>
    <t>Valerian</t>
  </si>
  <si>
    <t>Fruit and Nut Trees</t>
  </si>
  <si>
    <t>Almond</t>
  </si>
  <si>
    <t>1/4 cup or about 1 oz</t>
  </si>
  <si>
    <t>Apple</t>
  </si>
  <si>
    <t>1 apple or approx 4-6 oz</t>
  </si>
  <si>
    <t>Asian Pear</t>
  </si>
  <si>
    <t>1 pear or approx 4-6 oz</t>
  </si>
  <si>
    <t>Cherry</t>
  </si>
  <si>
    <t>2.5 - 3 oz</t>
  </si>
  <si>
    <t>Citrus</t>
  </si>
  <si>
    <t>variable</t>
  </si>
  <si>
    <t>European Pear</t>
  </si>
  <si>
    <t>Fig</t>
  </si>
  <si>
    <t>1 fig or 2-3 oz</t>
  </si>
  <si>
    <t>Hazelnut</t>
  </si>
  <si>
    <t>Mulberry</t>
  </si>
  <si>
    <t>Peach</t>
  </si>
  <si>
    <t>1 peach or about 6 oz</t>
  </si>
  <si>
    <t>Plum</t>
  </si>
  <si>
    <t>1 plum or about 5-6 oz</t>
  </si>
  <si>
    <t>Walnut</t>
  </si>
  <si>
    <t>Vines</t>
  </si>
  <si>
    <t>Akebia</t>
  </si>
  <si>
    <t>2.5 oz</t>
  </si>
  <si>
    <t>Grapes</t>
  </si>
  <si>
    <t>1 cup or about 3-4 oz</t>
  </si>
  <si>
    <t>Hops</t>
  </si>
  <si>
    <t>NA</t>
  </si>
  <si>
    <t>Kiwi</t>
  </si>
  <si>
    <t>1 cup or about 6 oz</t>
  </si>
  <si>
    <t>Ounces, raw numbers</t>
  </si>
  <si>
    <r>
      <rPr>
        <b/>
        <sz val="16"/>
        <color rgb="FF000000"/>
        <rFont val="Arial"/>
      </rPr>
      <t>Number of Servings You Want to Produce Each Week</t>
    </r>
    <r>
      <rPr>
        <b/>
        <sz val="12"/>
        <color rgb="FF000000"/>
        <rFont val="Arial"/>
      </rPr>
      <t xml:space="preserve"> </t>
    </r>
    <r>
      <rPr>
        <sz val="12"/>
        <color rgb="FF000000"/>
        <rFont val="Arial"/>
      </rPr>
      <t>(consider how many people you’re growing for and how many servings they will eat each week; if you're planning on doing some freezing or canning each week, you can add your desired amount for this as well. See the additional chart for single planting storage crops)</t>
    </r>
  </si>
  <si>
    <r>
      <rPr>
        <b/>
        <sz val="16"/>
        <color rgb="FF000000"/>
        <rFont val="Arial"/>
      </rPr>
      <t>Total Weight of Crop Needed Per Week In Pounds</t>
    </r>
    <r>
      <rPr>
        <b/>
        <sz val="12"/>
        <color rgb="FF000000"/>
        <rFont val="Arial"/>
      </rPr>
      <t xml:space="preserve"> </t>
    </r>
    <r>
      <rPr>
        <sz val="12"/>
        <color rgb="FF000000"/>
        <rFont val="Arial"/>
      </rPr>
      <t>(Multiply the serving size times the number of servings and divide by 16)</t>
    </r>
  </si>
  <si>
    <t>Type your number in this column</t>
  </si>
  <si>
    <t>This column auto-fills</t>
  </si>
  <si>
    <t>Crop</t>
  </si>
  <si>
    <t>Serving Size</t>
  </si>
  <si>
    <t>Desired Number of Servings from Storage Per Week</t>
  </si>
  <si>
    <t>Number of Weeks Relying on Stored Produce</t>
  </si>
  <si>
    <t>Total Amount Needed For Storage</t>
  </si>
  <si>
    <t>Yield Per Row Foot</t>
  </si>
  <si>
    <t>pickling or freezing</t>
  </si>
  <si>
    <t>cold storage or pickling</t>
  </si>
  <si>
    <t>freezing</t>
  </si>
  <si>
    <t>cold storage or sauerkraut</t>
  </si>
  <si>
    <t>cold storage</t>
  </si>
  <si>
    <t>general storage</t>
  </si>
  <si>
    <t>Onions</t>
  </si>
  <si>
    <t>8 oz unshelled or 1/2 cup shelled</t>
  </si>
  <si>
    <t xml:space="preserve">How Many Row Feet To Plant In Your Garden </t>
  </si>
  <si>
    <t>Single Planting Storage Reference</t>
  </si>
  <si>
    <t>Ounces, Raw Numbers</t>
  </si>
  <si>
    <t>Storage Method</t>
  </si>
  <si>
    <t>Amount</t>
  </si>
  <si>
    <t>Storage Methods</t>
  </si>
  <si>
    <r>
      <t xml:space="preserve">Multiply desired number of servings by serving weight in oz by number of weeks, then divide by 16 to get total pounds desired for storage. </t>
    </r>
    <r>
      <rPr>
        <b/>
        <sz val="16"/>
        <color rgb="FF000000"/>
        <rFont val="Arial"/>
      </rPr>
      <t>This column auto-fills</t>
    </r>
    <r>
      <rPr>
        <sz val="16"/>
        <color rgb="FF000000"/>
        <rFont val="Arial"/>
      </rPr>
      <t>.</t>
    </r>
  </si>
  <si>
    <r>
      <t xml:space="preserve">For example, you might want 5 weeks worth of storage beets, or 5 months (about 22 weeks) of storage carrots. This might be based on the length of your winter, how often you want to eat the crop in the off-season, or how much space you have in your refrigerator/cold storage area/freezer. </t>
    </r>
    <r>
      <rPr>
        <b/>
        <sz val="16"/>
        <color rgb="FF000000"/>
        <rFont val="Arial"/>
      </rPr>
      <t>Type your number in this column.</t>
    </r>
  </si>
  <si>
    <t>Type your number in this column.</t>
  </si>
  <si>
    <r>
      <t xml:space="preserve">The total amount needed in pounds by the yield per row foot in pounds. </t>
    </r>
    <r>
      <rPr>
        <b/>
        <sz val="16"/>
        <color rgb="FF000000"/>
        <rFont val="Arial"/>
      </rPr>
      <t>This column auto-fills</t>
    </r>
    <r>
      <rPr>
        <sz val="13"/>
        <color rgb="FF000000"/>
        <rFont val="Arial"/>
      </rPr>
      <t>.</t>
    </r>
  </si>
  <si>
    <t>Harvest Date</t>
  </si>
  <si>
    <t>per cutting, expect 1-2 cuttings a week apart</t>
  </si>
  <si>
    <t>per week, expect 1-2 harvests per week over the course of the season</t>
  </si>
  <si>
    <t>per picking, expect 1-4 pickings about 1 week apart</t>
  </si>
  <si>
    <t>per picking, expect 6-12 pickings about 0.5-1 week apart</t>
  </si>
  <si>
    <t>You will probably harvest this amount over the course of 2-3 pickings unless you cut the entire stalk at once</t>
  </si>
  <si>
    <t>1/3 of a bunch per week</t>
  </si>
  <si>
    <t>per cutting, expect 1-3 cuttings about a week apart</t>
  </si>
  <si>
    <t>1-2 ears</t>
  </si>
  <si>
    <t>per cutting, expect 1-4 cuttings about a week apart depending on conditions</t>
  </si>
  <si>
    <t>expect 5-10 fruits total per plant with 1-3 ready to pick each week at 1 plant per 3' of row</t>
  </si>
  <si>
    <t>at large braising size; for baby salad size, see lettuce, baby mix</t>
  </si>
  <si>
    <t>per picking, expect 2-3 pickings per week. yield is lower at first picking and increases later in the season</t>
  </si>
  <si>
    <t>per picking, expect 1 picking per week, yield increases later in season when plant is larger</t>
  </si>
  <si>
    <t>for full size types; yield is less for baby size</t>
  </si>
  <si>
    <t>total yield including hulls, expect to get this over the course of 2-3 pickings. 1 pound of peas with hulls yields about 1.25 cups shelled peas</t>
  </si>
  <si>
    <t>per picking, pick 2-3 times per week for about a month</t>
  </si>
  <si>
    <t>per picking, harvestable season varies by variety</t>
  </si>
  <si>
    <t>per picking, pick 1-2 times/week for 1-2 months</t>
  </si>
  <si>
    <t>expect 1-5 fruits per plant, depending on the variety</t>
  </si>
  <si>
    <t>expect 3-10 fruits per plant, depending on the variety</t>
  </si>
  <si>
    <t>per picking, pick 1-2 times per week over 1-2 months</t>
  </si>
  <si>
    <t>expect 1-2 fruits per plant</t>
  </si>
  <si>
    <t>Approximate Yield Per Row Foot (in Pounds), Per Week</t>
  </si>
  <si>
    <t>or 2-3 roots, not including greens</t>
  </si>
  <si>
    <t>or 1 head plus side shoots.  from cutting of main head; plant will continue to produce smaller quantities of side shoots for 1-4 weeks after main head is cut</t>
  </si>
  <si>
    <t>or 1 head</t>
  </si>
  <si>
    <t>or 4-6 roots</t>
  </si>
  <si>
    <t>or 1-2 roots</t>
  </si>
  <si>
    <t>or 1-2 fruits per week.  Amount is per picking, expect about 1 picking per week for 1-3 months</t>
  </si>
  <si>
    <t>or 1-2 fruits per week. Amount is per picking, expect about 1-2 picking per week for 1-2 months</t>
  </si>
  <si>
    <t>or 1/3 of a bunch per week. Amount is per picking, expect about 1 picking per week for 2-5 months</t>
  </si>
  <si>
    <t>or 1 bulb</t>
  </si>
  <si>
    <t>or 1-2 bulbs</t>
  </si>
  <si>
    <t>or 1/3 of a bunch per week.  Amount is per picking, expect about 1 picking per week for 2-5 months</t>
  </si>
  <si>
    <t>or 2-3 bulbs</t>
  </si>
  <si>
    <t>or 2-3 leeks</t>
  </si>
  <si>
    <t>or 2 onions</t>
  </si>
  <si>
    <t>or 1 bunch</t>
  </si>
  <si>
    <t>or 2-3 roots</t>
  </si>
  <si>
    <t>Harvest Notes and Alternate Per-Week Quantities</t>
  </si>
  <si>
    <t>You can change this amount based on your personal experience if you like.</t>
  </si>
  <si>
    <t>0.3 green, 0.1 dry</t>
  </si>
  <si>
    <t xml:space="preserve">per cutting/picking, expect 1 harvest per week over 2-4 weeks. Amount is for full-size leaves; for baby size, see lettuce mix </t>
  </si>
  <si>
    <t>Number of Weeks of Harvest</t>
  </si>
  <si>
    <t>for dill weed.  Amount is per cutting, expect about 1 cutting per week for 2-3 weeks</t>
  </si>
  <si>
    <t>Succession Planting Information</t>
  </si>
  <si>
    <t>weekly</t>
  </si>
  <si>
    <t>1-3 plantings</t>
  </si>
  <si>
    <t>every 2-3 weeks</t>
  </si>
  <si>
    <t>1-2 plantings in spring</t>
  </si>
  <si>
    <t>every 4 weeks</t>
  </si>
  <si>
    <t>weekly in spring and fall</t>
  </si>
  <si>
    <t>one planting in fall</t>
  </si>
  <si>
    <t>every 1-2 weeks in early spring and fall</t>
  </si>
  <si>
    <t>every 1-2 weeks</t>
  </si>
  <si>
    <t>1 planting</t>
  </si>
  <si>
    <t>1-3 plantings in spring, 1-2 in fall</t>
  </si>
  <si>
    <t>every 1-2 weeks in spring and fall</t>
  </si>
  <si>
    <t>1-3 plantings spaced 3-6 weeks apart</t>
  </si>
  <si>
    <t>per week, expect 1 harvest per week over 1-3 weeks</t>
  </si>
  <si>
    <t>1-3 plantings space 1-2 weeks apart</t>
  </si>
  <si>
    <t>generally, 1-3 plantings in spring spaced 1-2 weeks apart. Fall planting is possible in areas with winters lows above 10 degrees F</t>
  </si>
  <si>
    <t>1-3 plantings in spring spaced 1-3 weeks apart</t>
  </si>
  <si>
    <t>4-6</t>
  </si>
  <si>
    <t>1-3</t>
  </si>
  <si>
    <t>Beans, Snap (bush types)</t>
  </si>
  <si>
    <t>Beans, Snap (pole types)</t>
  </si>
  <si>
    <t>per picking.  Harvest period is variable, but generally is one picking a week over 2-3 weeks</t>
  </si>
  <si>
    <t xml:space="preserve">6-10 </t>
  </si>
  <si>
    <t>2-3</t>
  </si>
  <si>
    <t>6-8</t>
  </si>
  <si>
    <t>1-2</t>
  </si>
  <si>
    <t>varies depending on side shoot production, but generally every 2-3 weeks</t>
  </si>
  <si>
    <t>every 1-3 weeks</t>
  </si>
  <si>
    <t>1-3 plantings in spring</t>
  </si>
  <si>
    <t>every 4-6 weeks</t>
  </si>
  <si>
    <t xml:space="preserve">This column auto-fills </t>
  </si>
  <si>
    <t>Earliest Planting Date If Direct Seeding</t>
  </si>
  <si>
    <t>Earliest Planting Date If Transplanting</t>
  </si>
  <si>
    <t>Latest Planting Date If Direct Seeding</t>
  </si>
  <si>
    <t>Latest Planting Date If Transplanting</t>
  </si>
  <si>
    <t>Varies! expect to harvest 15-60 total pods over the harvest period (closer to 15 for large seeded varieties, closer to 60 for small seeded varieties) per plant.</t>
  </si>
  <si>
    <t>Number of Frost Free Days (Autofills)</t>
  </si>
  <si>
    <t>Transplant Propagation Numbers</t>
  </si>
  <si>
    <t>Not Recommended</t>
  </si>
  <si>
    <t xml:space="preserve">Plants per row foot </t>
  </si>
  <si>
    <t>DS/TP</t>
  </si>
  <si>
    <t>DS</t>
  </si>
  <si>
    <t>Number of Transplants Needed</t>
  </si>
  <si>
    <r>
      <t>In B1,</t>
    </r>
    <r>
      <rPr>
        <b/>
        <sz val="12"/>
        <color rgb="FF000000"/>
        <rFont val="Arial"/>
      </rPr>
      <t xml:space="preserve"> enter your last frost date</t>
    </r>
    <r>
      <rPr>
        <sz val="12"/>
        <color rgb="FF000000"/>
        <rFont val="Arial"/>
      </rPr>
      <t xml:space="preserve"> and the current year (or desired year) in the following format: 0/00/00</t>
    </r>
  </si>
  <si>
    <r>
      <t xml:space="preserve">In B2, </t>
    </r>
    <r>
      <rPr>
        <b/>
        <sz val="12"/>
        <color rgb="FF000000"/>
        <rFont val="Arial"/>
      </rPr>
      <t>enter your first frost date</t>
    </r>
    <r>
      <rPr>
        <sz val="12"/>
        <color rgb="FF000000"/>
        <rFont val="Arial"/>
      </rPr>
      <t xml:space="preserve"> and the current year (or desired year) in the following format: 0/00/00</t>
    </r>
  </si>
  <si>
    <t>Row Feet To Plant for Each Planting</t>
  </si>
  <si>
    <r>
      <rPr>
        <b/>
        <sz val="16"/>
        <color rgb="FF000000"/>
        <rFont val="Arial"/>
      </rPr>
      <t>Succession Planting Information</t>
    </r>
    <r>
      <rPr>
        <sz val="12"/>
        <color rgb="FF000000"/>
        <rFont val="Arial"/>
      </rPr>
      <t>:  How often to plant for a continuous harvest</t>
    </r>
  </si>
  <si>
    <t>Optional columns for growing your own transplants</t>
  </si>
  <si>
    <r>
      <t xml:space="preserve">Seed Starting Date for Earliest Transplanting Date: </t>
    </r>
    <r>
      <rPr>
        <sz val="12"/>
        <color rgb="FF000000"/>
        <rFont val="Arial"/>
      </rPr>
      <t>if you grow your own transplants, start your seeds on this date to have plants ready by the date in column D</t>
    </r>
  </si>
  <si>
    <r>
      <t>Seed Starting Date for Latest Transplanting Date:</t>
    </r>
    <r>
      <rPr>
        <sz val="12"/>
        <color rgb="FF000000"/>
        <rFont val="Arial"/>
      </rPr>
      <t xml:space="preserve"> if you grow your own transplants, start your seeds on this date to have plants ready by the date in column F</t>
    </r>
  </si>
  <si>
    <r>
      <t xml:space="preserve">Number of Seeds to Start: </t>
    </r>
    <r>
      <rPr>
        <sz val="12"/>
        <color rgb="FF000000"/>
        <rFont val="Arial"/>
      </rPr>
      <t>start this number of seeds in your progation area to make sure you have enough plants to plant out your desired number of row feet.</t>
    </r>
  </si>
  <si>
    <t>Harvest Weight</t>
  </si>
  <si>
    <t>Enter your desired year in B1</t>
  </si>
  <si>
    <t>Week number Reference</t>
  </si>
  <si>
    <t>Week of:</t>
  </si>
  <si>
    <t xml:space="preserve">Variety </t>
  </si>
  <si>
    <r>
      <t xml:space="preserve">Quantity </t>
    </r>
    <r>
      <rPr>
        <sz val="12"/>
        <color rgb="FF000000"/>
        <rFont val="Arial"/>
      </rPr>
      <t>(# of plants or row feet)</t>
    </r>
  </si>
  <si>
    <r>
      <t xml:space="preserve">Location </t>
    </r>
    <r>
      <rPr>
        <sz val="12"/>
        <color rgb="FF000000"/>
        <rFont val="Arial"/>
      </rPr>
      <t>(Nursery or Garden Bed)</t>
    </r>
  </si>
  <si>
    <t>Date Planted</t>
  </si>
  <si>
    <t>Last Frost Date (autofills)</t>
  </si>
  <si>
    <t>First Frost Date (autofills)</t>
  </si>
  <si>
    <r>
      <t>These numbers are general estimates;</t>
    </r>
    <r>
      <rPr>
        <b/>
        <sz val="13"/>
        <color rgb="FF000000"/>
        <rFont val="Arial"/>
      </rPr>
      <t xml:space="preserve"> feel free to change them based on personal experience</t>
    </r>
    <r>
      <rPr>
        <sz val="13"/>
        <color rgb="FF000000"/>
        <rFont val="Arial"/>
      </rPr>
      <t xml:space="preserve"> in your own garden and climate.</t>
    </r>
  </si>
  <si>
    <t>Beans, Snap (Bush Types)</t>
  </si>
  <si>
    <t>You can change this based on personal experience if you like</t>
  </si>
  <si>
    <t>Auto-fills</t>
  </si>
  <si>
    <t>Instructions for Using the High Yield Crop Planning Spreadsheets</t>
  </si>
  <si>
    <t>Pale green means the spreadsheet auto-fills information.</t>
  </si>
  <si>
    <t>Throughout the document, yellow coloration means you need to type in information to make the spreadsheets do their work.</t>
  </si>
  <si>
    <t>Blue means you can change the data in the cell based on personal experience if you like</t>
  </si>
  <si>
    <t xml:space="preserve">Uncolored cells contain additional information for your general knowledge.  </t>
  </si>
  <si>
    <t>The Personal Calendar is an easily printable list-type planting calendar.  Enter the year you're working in below, and then you can cut and paste crops and planting dates from the Planting Dates and Storage Crop Calculator tab (or print this calendar blank and fill in by hand).  Feel free to add extra rows as necessary.  Dates shown are the Monday of that week.  The Date Planted, Harvest Date, and Harvest Weight are for record keeping when you've actually planted and then harvested the crop.</t>
  </si>
  <si>
    <t>You can change this amount based on your personal experience if you like (this column does not affect other formulas in the spreadsheet, it's only for your information)</t>
  </si>
  <si>
    <r>
      <t xml:space="preserve">These spreadsheets are designed to help you determine how much of each crop you want to grow in your garden, and when to plant them.   In general, work through the tabs at the bottom of the screen from left to right (after reading these instructions, start with Garden Data Entry).  Each tab has additional detailed instructions to guide you along.   In the </t>
    </r>
    <r>
      <rPr>
        <b/>
        <sz val="14"/>
        <color rgb="FF000000"/>
        <rFont val="Arial"/>
      </rPr>
      <t>Garden Data Entry</t>
    </r>
    <r>
      <rPr>
        <sz val="14"/>
        <color rgb="FF000000"/>
        <rFont val="Arial"/>
      </rPr>
      <t xml:space="preserve"> tab, you type in your first and last frost dates and determine how much of what crops you'd like to grow.  The </t>
    </r>
    <r>
      <rPr>
        <b/>
        <sz val="14"/>
        <color rgb="FF000000"/>
        <rFont val="Arial"/>
      </rPr>
      <t>Planting Dates</t>
    </r>
    <r>
      <rPr>
        <sz val="14"/>
        <color rgb="FF000000"/>
        <rFont val="Arial"/>
      </rPr>
      <t xml:space="preserve"> tab mostly auto-fills information about timing the first and last planting of each crop you fill out information for in the Garden Data Entry tab.  It also calculates dates for starting seeds in your propagation area if you grow your own transplants.  The </t>
    </r>
    <r>
      <rPr>
        <b/>
        <sz val="14"/>
        <color rgb="FF000000"/>
        <rFont val="Arial"/>
      </rPr>
      <t>Storage Crop Calculator</t>
    </r>
    <r>
      <rPr>
        <sz val="14"/>
        <color rgb="FF000000"/>
        <rFont val="Arial"/>
      </rPr>
      <t xml:space="preserve"> lets you make some additional calculations for large single plantings of crops for long-term storage by freezing, canning, dehydrating, cold storage, etc.   The </t>
    </r>
    <r>
      <rPr>
        <b/>
        <sz val="14"/>
        <color rgb="FF000000"/>
        <rFont val="Arial"/>
      </rPr>
      <t>Personal Calendar</t>
    </r>
    <r>
      <rPr>
        <sz val="14"/>
        <color rgb="FF000000"/>
        <rFont val="Arial"/>
      </rPr>
      <t xml:space="preserve"> tab is an easily printable planting calendar and record-keeping form that you can cut and paste information from other tabs into, print, and take to the garden with you (or pull it up on a smartphone or other device). </t>
    </r>
  </si>
  <si>
    <r>
      <rPr>
        <b/>
        <sz val="14"/>
        <color rgb="FF000000"/>
        <rFont val="Arial"/>
      </rPr>
      <t>Author's Note</t>
    </r>
    <r>
      <rPr>
        <sz val="14"/>
        <color rgb="FF000000"/>
        <rFont val="Arial"/>
      </rPr>
      <t>: The layout and information contained in these spreadsheets is copyrighted and intended only for personal home use only.  If you are interested in using the information in any other manner, please contact us at brad@seattleurbanfarmco.com or colin@seattleurbanfarmco.com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</si>
</sst>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F800]dddd\,\ mmmm\ dd\,\ yyyy"/>
  </numFmts>
  <fonts count="19" x14ac:knownFonts="1">
    <font>
      <sz val="10"/>
      <color rgb="FF000000"/>
      <name val="Arial"/>
    </font>
    <font>
      <b/>
      <sz val="10"/>
      <name val="Arial"/>
    </font>
    <font>
      <sz val="10"/>
      <name val="Arial"/>
    </font>
    <font>
      <u/>
      <sz val="10"/>
      <color theme="10"/>
      <name val="Arial"/>
    </font>
    <font>
      <u/>
      <sz val="10"/>
      <color theme="11"/>
      <name val="Arial"/>
    </font>
    <font>
      <sz val="8"/>
      <name val="Arial"/>
    </font>
    <font>
      <b/>
      <sz val="10"/>
      <color rgb="FF000000"/>
      <name val="Arial"/>
    </font>
    <font>
      <b/>
      <sz val="12"/>
      <color rgb="FF000000"/>
      <name val="Arial"/>
    </font>
    <font>
      <sz val="12"/>
      <color rgb="FF000000"/>
      <name val="Arial"/>
    </font>
    <font>
      <sz val="12"/>
      <name val="Arial"/>
    </font>
    <font>
      <b/>
      <sz val="16"/>
      <name val="Arial"/>
    </font>
    <font>
      <b/>
      <sz val="16"/>
      <color rgb="FF000000"/>
      <name val="Arial"/>
    </font>
    <font>
      <sz val="13"/>
      <color rgb="FF000000"/>
      <name val="Arial"/>
    </font>
    <font>
      <b/>
      <sz val="13"/>
      <color rgb="FF000000"/>
      <name val="Arial"/>
    </font>
    <font>
      <sz val="16"/>
      <color rgb="FF000000"/>
      <name val="Arial"/>
    </font>
    <font>
      <sz val="12"/>
      <color rgb="FF323232"/>
      <name val="Arial"/>
    </font>
    <font>
      <b/>
      <sz val="18"/>
      <color rgb="FF000000"/>
      <name val="Arial"/>
    </font>
    <font>
      <sz val="14"/>
      <color rgb="FF000000"/>
      <name val="Arial"/>
    </font>
    <font>
      <b/>
      <sz val="14"/>
      <color rgb="FF000000"/>
      <name val="Arial"/>
    </font>
  </fonts>
  <fills count="6">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4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8">
    <xf numFmtId="0" fontId="0" fillId="0" borderId="0" xfId="0" applyFont="1" applyAlignment="1"/>
    <xf numFmtId="0" fontId="1" fillId="0" borderId="0" xfId="0" applyFont="1" applyAlignment="1">
      <alignment wrapText="1"/>
    </xf>
    <xf numFmtId="0" fontId="2" fillId="0" borderId="0" xfId="0" applyFont="1" applyAlignment="1"/>
    <xf numFmtId="0" fontId="1" fillId="0" borderId="0" xfId="0" applyFont="1" applyAlignment="1"/>
    <xf numFmtId="0" fontId="6" fillId="0" borderId="0" xfId="0" applyFont="1" applyAlignment="1">
      <alignment wrapText="1"/>
    </xf>
    <xf numFmtId="0" fontId="7" fillId="0" borderId="0" xfId="0" applyFont="1" applyAlignment="1">
      <alignment wrapText="1"/>
    </xf>
    <xf numFmtId="0" fontId="10" fillId="0" borderId="0" xfId="0" applyFont="1" applyBorder="1" applyAlignment="1">
      <alignment wrapText="1"/>
    </xf>
    <xf numFmtId="0" fontId="7" fillId="3" borderId="1" xfId="0" applyFont="1" applyFill="1" applyBorder="1" applyAlignment="1">
      <alignment wrapText="1"/>
    </xf>
    <xf numFmtId="0" fontId="12"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2" fillId="3" borderId="1" xfId="0" applyFont="1" applyFill="1" applyBorder="1" applyAlignment="1">
      <alignment wrapText="1"/>
    </xf>
    <xf numFmtId="0" fontId="8" fillId="0" borderId="0" xfId="0" applyFont="1" applyAlignment="1">
      <alignment wrapText="1"/>
    </xf>
    <xf numFmtId="0" fontId="9" fillId="0" borderId="0" xfId="0" applyFont="1" applyBorder="1" applyAlignment="1">
      <alignment wrapText="1"/>
    </xf>
    <xf numFmtId="0" fontId="8" fillId="3" borderId="1" xfId="0" applyFont="1" applyFill="1" applyBorder="1" applyAlignment="1">
      <alignment wrapText="1"/>
    </xf>
    <xf numFmtId="0" fontId="8" fillId="4" borderId="1" xfId="0" applyFont="1" applyFill="1" applyBorder="1" applyAlignment="1">
      <alignment wrapText="1"/>
    </xf>
    <xf numFmtId="14" fontId="8" fillId="0" borderId="0" xfId="0" applyNumberFormat="1" applyFont="1" applyAlignment="1">
      <alignment wrapText="1"/>
    </xf>
    <xf numFmtId="164" fontId="8" fillId="0" borderId="0" xfId="0" applyNumberFormat="1" applyFont="1" applyAlignment="1">
      <alignment wrapText="1"/>
    </xf>
    <xf numFmtId="1" fontId="8" fillId="0" borderId="0" xfId="0" applyNumberFormat="1" applyFont="1" applyAlignment="1">
      <alignment wrapText="1"/>
    </xf>
    <xf numFmtId="14" fontId="7" fillId="0" borderId="0" xfId="0" applyNumberFormat="1" applyFont="1" applyAlignment="1">
      <alignment wrapText="1"/>
    </xf>
    <xf numFmtId="2" fontId="8" fillId="0" borderId="0" xfId="0" applyNumberFormat="1" applyFont="1" applyAlignment="1">
      <alignment wrapText="1"/>
    </xf>
    <xf numFmtId="14" fontId="8" fillId="3" borderId="1" xfId="0" applyNumberFormat="1" applyFont="1" applyFill="1" applyBorder="1" applyAlignment="1">
      <alignment wrapText="1"/>
    </xf>
    <xf numFmtId="164" fontId="7" fillId="3" borderId="1" xfId="0" applyNumberFormat="1" applyFont="1" applyFill="1" applyBorder="1" applyAlignment="1">
      <alignment wrapText="1"/>
    </xf>
    <xf numFmtId="1" fontId="8" fillId="3" borderId="1" xfId="0" applyNumberFormat="1" applyFont="1" applyFill="1" applyBorder="1" applyAlignment="1">
      <alignment wrapText="1"/>
    </xf>
    <xf numFmtId="0" fontId="11" fillId="3" borderId="1" xfId="0" applyFont="1" applyFill="1" applyBorder="1" applyAlignment="1">
      <alignment wrapText="1"/>
    </xf>
    <xf numFmtId="164" fontId="11" fillId="3" borderId="1" xfId="0" applyNumberFormat="1" applyFont="1" applyFill="1" applyBorder="1" applyAlignment="1">
      <alignment wrapText="1"/>
    </xf>
    <xf numFmtId="164" fontId="8" fillId="3" borderId="1" xfId="0" applyNumberFormat="1" applyFont="1" applyFill="1" applyBorder="1" applyAlignment="1">
      <alignment wrapText="1"/>
    </xf>
    <xf numFmtId="164" fontId="9" fillId="3" borderId="1" xfId="0" applyNumberFormat="1" applyFont="1" applyFill="1" applyBorder="1" applyAlignment="1">
      <alignment wrapText="1"/>
    </xf>
    <xf numFmtId="14" fontId="7" fillId="3" borderId="1" xfId="0" applyNumberFormat="1" applyFont="1" applyFill="1" applyBorder="1" applyAlignment="1">
      <alignment wrapText="1"/>
    </xf>
    <xf numFmtId="2" fontId="7" fillId="3" borderId="1" xfId="0" applyNumberFormat="1" applyFont="1" applyFill="1" applyBorder="1" applyAlignment="1">
      <alignment wrapText="1"/>
    </xf>
    <xf numFmtId="1" fontId="7" fillId="3" borderId="1" xfId="0" applyNumberFormat="1" applyFont="1" applyFill="1" applyBorder="1" applyAlignment="1">
      <alignment wrapText="1"/>
    </xf>
    <xf numFmtId="14" fontId="8" fillId="3" borderId="2" xfId="0" applyNumberFormat="1" applyFont="1" applyFill="1" applyBorder="1" applyAlignment="1">
      <alignment wrapText="1"/>
    </xf>
    <xf numFmtId="165" fontId="8" fillId="0" borderId="0" xfId="0" applyNumberFormat="1" applyFont="1" applyAlignment="1">
      <alignment wrapText="1"/>
    </xf>
    <xf numFmtId="165" fontId="11" fillId="0" borderId="0" xfId="0" applyNumberFormat="1" applyFont="1" applyAlignment="1">
      <alignment wrapText="1"/>
    </xf>
    <xf numFmtId="164" fontId="15" fillId="2" borderId="1" xfId="0" applyNumberFormat="1" applyFont="1" applyFill="1" applyBorder="1" applyAlignment="1">
      <alignment wrapText="1"/>
    </xf>
    <xf numFmtId="164" fontId="11" fillId="0" borderId="0" xfId="0" applyNumberFormat="1" applyFont="1" applyAlignment="1">
      <alignment wrapText="1"/>
    </xf>
    <xf numFmtId="164" fontId="15" fillId="0" borderId="0" xfId="0" applyNumberFormat="1" applyFont="1" applyAlignment="1"/>
    <xf numFmtId="164" fontId="12" fillId="3" borderId="1" xfId="0" applyNumberFormat="1" applyFont="1" applyFill="1" applyBorder="1" applyAlignment="1">
      <alignment wrapText="1"/>
    </xf>
    <xf numFmtId="164" fontId="0" fillId="0" borderId="0" xfId="0" applyNumberFormat="1" applyFont="1" applyAlignment="1">
      <alignment wrapText="1"/>
    </xf>
    <xf numFmtId="164" fontId="12" fillId="0" borderId="0" xfId="0" applyNumberFormat="1" applyFont="1" applyAlignment="1">
      <alignment wrapText="1"/>
    </xf>
    <xf numFmtId="0" fontId="12" fillId="0" borderId="0" xfId="0" applyFont="1" applyBorder="1" applyAlignment="1">
      <alignment wrapText="1"/>
    </xf>
    <xf numFmtId="164" fontId="11" fillId="0" borderId="1" xfId="0" applyNumberFormat="1" applyFont="1" applyFill="1" applyBorder="1" applyAlignment="1">
      <alignment wrapText="1"/>
    </xf>
    <xf numFmtId="164" fontId="11" fillId="3" borderId="3" xfId="0" applyNumberFormat="1" applyFont="1" applyFill="1" applyBorder="1" applyAlignment="1">
      <alignment wrapText="1"/>
    </xf>
    <xf numFmtId="164" fontId="7" fillId="3" borderId="3" xfId="0" applyNumberFormat="1" applyFont="1" applyFill="1" applyBorder="1" applyAlignment="1">
      <alignment wrapText="1"/>
    </xf>
    <xf numFmtId="164" fontId="8" fillId="3" borderId="3" xfId="0" applyNumberFormat="1" applyFont="1" applyFill="1" applyBorder="1" applyAlignment="1">
      <alignment wrapText="1"/>
    </xf>
    <xf numFmtId="164" fontId="9" fillId="3" borderId="3" xfId="0" applyNumberFormat="1" applyFont="1" applyFill="1" applyBorder="1" applyAlignment="1">
      <alignment wrapText="1"/>
    </xf>
    <xf numFmtId="0" fontId="7" fillId="3" borderId="4" xfId="0" applyFont="1" applyFill="1" applyBorder="1" applyAlignment="1">
      <alignment wrapText="1"/>
    </xf>
    <xf numFmtId="164" fontId="7" fillId="3" borderId="4" xfId="0" applyNumberFormat="1" applyFont="1" applyFill="1" applyBorder="1" applyAlignment="1">
      <alignment wrapText="1"/>
    </xf>
    <xf numFmtId="0" fontId="8" fillId="3" borderId="4" xfId="0" applyFont="1" applyFill="1" applyBorder="1" applyAlignment="1">
      <alignment wrapText="1"/>
    </xf>
    <xf numFmtId="14" fontId="8" fillId="3" borderId="4" xfId="0" applyNumberFormat="1" applyFont="1" applyFill="1" applyBorder="1" applyAlignment="1">
      <alignment wrapText="1"/>
    </xf>
    <xf numFmtId="0" fontId="17" fillId="0" borderId="0" xfId="0" applyFont="1" applyAlignment="1">
      <alignment wrapText="1"/>
    </xf>
    <xf numFmtId="0" fontId="17" fillId="2" borderId="1" xfId="0" applyFont="1" applyFill="1" applyBorder="1" applyAlignment="1">
      <alignment wrapText="1"/>
    </xf>
    <xf numFmtId="0" fontId="17" fillId="3" borderId="1" xfId="0" applyFont="1" applyFill="1" applyBorder="1" applyAlignment="1">
      <alignment wrapText="1"/>
    </xf>
    <xf numFmtId="0" fontId="17" fillId="5" borderId="1" xfId="0" applyFont="1" applyFill="1" applyBorder="1" applyAlignment="1">
      <alignment wrapText="1"/>
    </xf>
    <xf numFmtId="0" fontId="8" fillId="0" borderId="0" xfId="0" applyFont="1" applyAlignment="1" applyProtection="1">
      <alignment wrapText="1"/>
      <protection locked="0"/>
    </xf>
    <xf numFmtId="0" fontId="7" fillId="0" borderId="0" xfId="0" applyFont="1" applyAlignment="1" applyProtection="1">
      <alignment wrapText="1"/>
      <protection locked="0"/>
    </xf>
    <xf numFmtId="0" fontId="7" fillId="2" borderId="1" xfId="0" applyFont="1" applyFill="1" applyBorder="1" applyAlignment="1" applyProtection="1">
      <alignment wrapText="1"/>
      <protection locked="0"/>
    </xf>
    <xf numFmtId="0" fontId="8" fillId="2" borderId="1" xfId="0" applyFont="1" applyFill="1" applyBorder="1" applyAlignment="1" applyProtection="1">
      <alignment wrapText="1"/>
      <protection locked="0"/>
    </xf>
    <xf numFmtId="0" fontId="8" fillId="4" borderId="1" xfId="0" applyFont="1" applyFill="1" applyBorder="1" applyAlignment="1" applyProtection="1">
      <alignment wrapText="1"/>
      <protection locked="0"/>
    </xf>
    <xf numFmtId="49" fontId="8" fillId="0" borderId="0" xfId="0" applyNumberFormat="1" applyFont="1" applyFill="1" applyAlignment="1" applyProtection="1">
      <alignment wrapText="1"/>
      <protection locked="0"/>
    </xf>
    <xf numFmtId="0" fontId="11" fillId="0" borderId="0" xfId="0" applyFont="1" applyAlignment="1" applyProtection="1">
      <alignment wrapText="1"/>
      <protection locked="0"/>
    </xf>
    <xf numFmtId="0" fontId="7" fillId="5" borderId="1" xfId="0" applyFont="1" applyFill="1" applyBorder="1" applyAlignment="1" applyProtection="1">
      <alignment wrapText="1"/>
      <protection locked="0"/>
    </xf>
    <xf numFmtId="0" fontId="8" fillId="5" borderId="1" xfId="0" applyFont="1" applyFill="1" applyBorder="1" applyAlignment="1" applyProtection="1">
      <alignment wrapText="1"/>
      <protection locked="0"/>
    </xf>
    <xf numFmtId="1" fontId="8" fillId="5" borderId="1" xfId="0" applyNumberFormat="1" applyFont="1" applyFill="1" applyBorder="1" applyAlignment="1" applyProtection="1">
      <alignment wrapText="1"/>
      <protection locked="0"/>
    </xf>
    <xf numFmtId="14" fontId="8" fillId="2" borderId="1" xfId="0" applyNumberFormat="1" applyFont="1" applyFill="1" applyBorder="1" applyAlignment="1" applyProtection="1">
      <alignment wrapText="1"/>
      <protection locked="0"/>
    </xf>
    <xf numFmtId="49" fontId="11" fillId="0" borderId="0" xfId="0" applyNumberFormat="1" applyFont="1" applyFill="1" applyAlignment="1" applyProtection="1">
      <alignment wrapText="1"/>
      <protection locked="0"/>
    </xf>
    <xf numFmtId="49" fontId="8" fillId="5" borderId="1" xfId="0" applyNumberFormat="1" applyFont="1" applyFill="1" applyBorder="1" applyAlignment="1" applyProtection="1">
      <alignment wrapText="1"/>
      <protection locked="0"/>
    </xf>
    <xf numFmtId="0" fontId="8" fillId="0" borderId="0" xfId="0" applyFont="1" applyFill="1" applyBorder="1" applyAlignment="1" applyProtection="1">
      <alignment wrapText="1"/>
      <protection locked="0"/>
    </xf>
    <xf numFmtId="0" fontId="11" fillId="2" borderId="1" xfId="0" applyFont="1" applyFill="1" applyBorder="1" applyAlignment="1" applyProtection="1">
      <alignment wrapText="1"/>
      <protection locked="0"/>
    </xf>
    <xf numFmtId="0" fontId="12" fillId="2" borderId="1" xfId="0" applyFont="1" applyFill="1" applyBorder="1" applyAlignment="1" applyProtection="1">
      <alignment wrapText="1"/>
      <protection locked="0"/>
    </xf>
    <xf numFmtId="0" fontId="12" fillId="0" borderId="0" xfId="0" applyFont="1" applyAlignment="1" applyProtection="1">
      <alignment wrapText="1"/>
      <protection locked="0"/>
    </xf>
    <xf numFmtId="0" fontId="0" fillId="0" borderId="0" xfId="0" applyFont="1" applyAlignment="1" applyProtection="1">
      <alignment wrapText="1"/>
      <protection locked="0"/>
    </xf>
    <xf numFmtId="0" fontId="12" fillId="5" borderId="1" xfId="0" applyFont="1" applyFill="1" applyBorder="1" applyAlignment="1" applyProtection="1">
      <alignment wrapText="1"/>
      <protection locked="0"/>
    </xf>
    <xf numFmtId="0" fontId="8" fillId="2" borderId="1" xfId="0" applyNumberFormat="1" applyFont="1" applyFill="1" applyBorder="1" applyAlignment="1" applyProtection="1">
      <alignment wrapText="1"/>
      <protection locked="0"/>
    </xf>
    <xf numFmtId="0" fontId="17" fillId="0" borderId="0" xfId="0" applyFont="1" applyAlignment="1">
      <alignment horizontal="left" wrapText="1"/>
    </xf>
    <xf numFmtId="0" fontId="16" fillId="0" borderId="0" xfId="0" applyFont="1" applyAlignment="1">
      <alignment wrapText="1"/>
    </xf>
    <xf numFmtId="0" fontId="11" fillId="0" borderId="0" xfId="0" applyFont="1" applyAlignment="1">
      <alignment horizontal="center" wrapText="1"/>
    </xf>
    <xf numFmtId="164" fontId="17" fillId="0" borderId="0" xfId="0" applyNumberFormat="1" applyFont="1" applyAlignment="1">
      <alignment wrapText="1"/>
    </xf>
  </cellXfs>
  <cellStyles count="4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2" sqref="A2:B2"/>
    </sheetView>
  </sheetViews>
  <sheetFormatPr baseColWidth="10" defaultColWidth="89.6640625" defaultRowHeight="29" customHeight="1" x14ac:dyDescent="0"/>
  <cols>
    <col min="1" max="1" width="79" style="50" customWidth="1"/>
    <col min="2" max="2" width="60.6640625" style="50" customWidth="1"/>
    <col min="3" max="16384" width="89.6640625" style="50"/>
  </cols>
  <sheetData>
    <row r="1" spans="1:2" ht="84" customHeight="1">
      <c r="A1" s="75" t="s">
        <v>328</v>
      </c>
      <c r="B1" s="75"/>
    </row>
    <row r="2" spans="1:2" ht="186" customHeight="1">
      <c r="A2" s="74" t="s">
        <v>335</v>
      </c>
      <c r="B2" s="74"/>
    </row>
    <row r="3" spans="1:2" ht="60" customHeight="1">
      <c r="A3" s="51" t="s">
        <v>330</v>
      </c>
    </row>
    <row r="4" spans="1:2" ht="44" customHeight="1">
      <c r="A4" s="52" t="s">
        <v>329</v>
      </c>
    </row>
    <row r="5" spans="1:2" ht="38" customHeight="1">
      <c r="A5" s="53" t="s">
        <v>331</v>
      </c>
    </row>
    <row r="6" spans="1:2" ht="29" customHeight="1">
      <c r="A6" s="50" t="s">
        <v>332</v>
      </c>
    </row>
    <row r="7" spans="1:2" ht="87" customHeight="1">
      <c r="A7" s="50" t="s">
        <v>336</v>
      </c>
    </row>
  </sheetData>
  <sheetProtection sheet="1" objects="1" scenarios="1"/>
  <mergeCells count="2">
    <mergeCell ref="A2:B2"/>
    <mergeCell ref="A1:B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workbookViewId="0">
      <pane xSplit="1" ySplit="4" topLeftCell="C5" activePane="bottomRight" state="frozen"/>
      <selection pane="topRight" activeCell="B1" sqref="B1"/>
      <selection pane="bottomLeft" activeCell="A3" sqref="A3"/>
      <selection pane="bottomRight" activeCell="E7" sqref="E7"/>
    </sheetView>
  </sheetViews>
  <sheetFormatPr baseColWidth="10" defaultRowHeight="22" customHeight="1" x14ac:dyDescent="0"/>
  <cols>
    <col min="1" max="1" width="33.83203125" style="12" customWidth="1"/>
    <col min="2" max="2" width="30" style="12" customWidth="1"/>
    <col min="3" max="3" width="54" style="54" customWidth="1"/>
    <col min="4" max="4" width="29.33203125" style="12" customWidth="1"/>
    <col min="5" max="5" width="28.6640625" style="54" customWidth="1"/>
    <col min="6" max="6" width="118.33203125" style="54" customWidth="1"/>
    <col min="7" max="7" width="44.5" style="59" customWidth="1"/>
    <col min="8" max="8" width="60.33203125" style="54" customWidth="1"/>
    <col min="9" max="16384" width="10.83203125" style="12"/>
  </cols>
  <sheetData>
    <row r="1" spans="1:8" ht="66" customHeight="1">
      <c r="A1" s="57" t="s">
        <v>306</v>
      </c>
      <c r="B1" s="64">
        <v>42139</v>
      </c>
    </row>
    <row r="2" spans="1:8" ht="55" customHeight="1">
      <c r="A2" s="57" t="s">
        <v>307</v>
      </c>
      <c r="B2" s="64">
        <v>42278</v>
      </c>
    </row>
    <row r="3" spans="1:8" ht="109" customHeight="1">
      <c r="A3" s="6" t="s">
        <v>0</v>
      </c>
      <c r="B3" s="6" t="s">
        <v>1</v>
      </c>
      <c r="C3" s="55" t="s">
        <v>188</v>
      </c>
      <c r="D3" s="5" t="s">
        <v>189</v>
      </c>
      <c r="E3" s="60" t="s">
        <v>239</v>
      </c>
      <c r="F3" s="60" t="s">
        <v>256</v>
      </c>
      <c r="G3" s="65" t="s">
        <v>260</v>
      </c>
      <c r="H3" s="60" t="s">
        <v>262</v>
      </c>
    </row>
    <row r="4" spans="1:8" ht="62" customHeight="1">
      <c r="A4" s="6"/>
      <c r="B4" s="6"/>
      <c r="C4" s="56" t="s">
        <v>190</v>
      </c>
      <c r="D4" s="7" t="s">
        <v>191</v>
      </c>
      <c r="E4" s="61" t="s">
        <v>257</v>
      </c>
      <c r="G4" s="66" t="s">
        <v>334</v>
      </c>
    </row>
    <row r="5" spans="1:8" ht="29" customHeight="1">
      <c r="A5" s="13" t="s">
        <v>2</v>
      </c>
      <c r="B5" s="13" t="s">
        <v>3</v>
      </c>
      <c r="C5" s="57"/>
      <c r="D5" s="14">
        <f>(C5*Ref!C2)/16</f>
        <v>0</v>
      </c>
      <c r="E5" s="62">
        <v>0.25</v>
      </c>
      <c r="F5" s="54" t="s">
        <v>217</v>
      </c>
      <c r="G5" s="66">
        <v>1</v>
      </c>
      <c r="H5" s="54" t="s">
        <v>263</v>
      </c>
    </row>
    <row r="6" spans="1:8" ht="29" customHeight="1">
      <c r="A6" s="13" t="s">
        <v>4</v>
      </c>
      <c r="B6" s="13" t="s">
        <v>5</v>
      </c>
      <c r="C6" s="57"/>
      <c r="D6" s="14">
        <f>(C6*Ref!C3)/16</f>
        <v>0</v>
      </c>
      <c r="E6" s="62">
        <v>0.1</v>
      </c>
      <c r="F6" s="54" t="s">
        <v>218</v>
      </c>
      <c r="G6" s="66" t="s">
        <v>280</v>
      </c>
      <c r="H6" s="54" t="s">
        <v>275</v>
      </c>
    </row>
    <row r="7" spans="1:8" ht="29" customHeight="1">
      <c r="A7" s="13" t="s">
        <v>6</v>
      </c>
      <c r="B7" s="13" t="s">
        <v>7</v>
      </c>
      <c r="C7" s="57"/>
      <c r="D7" s="14">
        <f>(C7*Ref!C4)/16</f>
        <v>0</v>
      </c>
      <c r="E7" s="62">
        <v>0.2</v>
      </c>
      <c r="F7" s="54" t="s">
        <v>276</v>
      </c>
      <c r="G7" s="66">
        <v>3</v>
      </c>
      <c r="H7" s="54" t="s">
        <v>277</v>
      </c>
    </row>
    <row r="8" spans="1:8" ht="29" customHeight="1">
      <c r="A8" s="13" t="s">
        <v>8</v>
      </c>
      <c r="B8" s="13" t="s">
        <v>9</v>
      </c>
      <c r="C8" s="57"/>
      <c r="D8" s="14">
        <f>(C8*Ref!C5)/16</f>
        <v>0</v>
      </c>
      <c r="E8" s="62">
        <v>1</v>
      </c>
      <c r="F8" s="54" t="s">
        <v>298</v>
      </c>
      <c r="G8" s="66">
        <v>3</v>
      </c>
      <c r="H8" s="54" t="s">
        <v>278</v>
      </c>
    </row>
    <row r="9" spans="1:8" ht="29" customHeight="1">
      <c r="A9" s="13" t="s">
        <v>10</v>
      </c>
      <c r="B9" s="13" t="s">
        <v>11</v>
      </c>
      <c r="C9" s="57"/>
      <c r="D9" s="14">
        <f>(C9*Ref!C6)/16</f>
        <v>0</v>
      </c>
      <c r="E9" s="62">
        <v>0.1</v>
      </c>
      <c r="G9" s="66">
        <v>3</v>
      </c>
      <c r="H9" s="54" t="s">
        <v>279</v>
      </c>
    </row>
    <row r="10" spans="1:8" ht="29" customHeight="1">
      <c r="A10" s="13" t="s">
        <v>282</v>
      </c>
      <c r="B10" s="13" t="s">
        <v>13</v>
      </c>
      <c r="C10" s="57"/>
      <c r="D10" s="14">
        <f>(C10*Ref!C7)/16</f>
        <v>0</v>
      </c>
      <c r="E10" s="62">
        <v>0.25</v>
      </c>
      <c r="F10" s="54" t="s">
        <v>219</v>
      </c>
      <c r="G10" s="66" t="s">
        <v>281</v>
      </c>
      <c r="H10" s="54" t="s">
        <v>265</v>
      </c>
    </row>
    <row r="11" spans="1:8" ht="29" customHeight="1">
      <c r="A11" s="13" t="s">
        <v>283</v>
      </c>
      <c r="B11" s="13" t="s">
        <v>13</v>
      </c>
      <c r="C11" s="57"/>
      <c r="D11" s="14">
        <f>(C11*Ref!C8)/16</f>
        <v>0</v>
      </c>
      <c r="E11" s="62">
        <v>0.25</v>
      </c>
      <c r="F11" s="54" t="s">
        <v>220</v>
      </c>
      <c r="G11" s="66" t="s">
        <v>285</v>
      </c>
      <c r="H11" s="54" t="s">
        <v>266</v>
      </c>
    </row>
    <row r="12" spans="1:8" ht="29" customHeight="1">
      <c r="A12" s="13" t="s">
        <v>14</v>
      </c>
      <c r="B12" s="13" t="s">
        <v>15</v>
      </c>
      <c r="C12" s="57"/>
      <c r="D12" s="14">
        <f>(C12*Ref!C9)/16</f>
        <v>0</v>
      </c>
      <c r="E12" s="62">
        <v>0.25</v>
      </c>
      <c r="F12" s="54" t="s">
        <v>284</v>
      </c>
      <c r="G12" s="66" t="s">
        <v>286</v>
      </c>
      <c r="H12" s="54" t="s">
        <v>279</v>
      </c>
    </row>
    <row r="13" spans="1:8" ht="29" customHeight="1">
      <c r="A13" s="13" t="s">
        <v>16</v>
      </c>
      <c r="B13" s="13" t="s">
        <v>17</v>
      </c>
      <c r="C13" s="57"/>
      <c r="D13" s="14">
        <f>(C13*Ref!C10)/16</f>
        <v>0</v>
      </c>
      <c r="E13" s="62">
        <v>0.5</v>
      </c>
      <c r="F13" s="54" t="s">
        <v>240</v>
      </c>
      <c r="G13" s="66">
        <v>1</v>
      </c>
      <c r="H13" s="54" t="s">
        <v>271</v>
      </c>
    </row>
    <row r="14" spans="1:8" ht="29" customHeight="1">
      <c r="A14" s="13" t="s">
        <v>18</v>
      </c>
      <c r="B14" s="13" t="s">
        <v>19</v>
      </c>
      <c r="C14" s="57"/>
      <c r="D14" s="14">
        <f>(C14*Ref!C11)/16</f>
        <v>0</v>
      </c>
      <c r="E14" s="62">
        <v>0.4</v>
      </c>
      <c r="F14" s="54" t="s">
        <v>241</v>
      </c>
      <c r="G14" s="66">
        <v>1</v>
      </c>
      <c r="H14" s="54" t="s">
        <v>289</v>
      </c>
    </row>
    <row r="15" spans="1:8" ht="29" customHeight="1">
      <c r="A15" s="13" t="s">
        <v>20</v>
      </c>
      <c r="B15" s="13" t="s">
        <v>21</v>
      </c>
      <c r="C15" s="57"/>
      <c r="D15" s="14">
        <f>(C15*Ref!C12)/16</f>
        <v>0</v>
      </c>
      <c r="E15" s="62">
        <v>0.6</v>
      </c>
      <c r="F15" s="54" t="s">
        <v>221</v>
      </c>
      <c r="G15" s="66">
        <v>3</v>
      </c>
      <c r="H15" s="54" t="s">
        <v>291</v>
      </c>
    </row>
    <row r="16" spans="1:8" ht="29" customHeight="1">
      <c r="A16" s="13" t="s">
        <v>22</v>
      </c>
      <c r="B16" s="13" t="s">
        <v>23</v>
      </c>
      <c r="C16" s="57"/>
      <c r="D16" s="14">
        <f>(C16*Ref!C13)/16</f>
        <v>0</v>
      </c>
      <c r="E16" s="62">
        <v>1.5</v>
      </c>
      <c r="F16" s="54" t="s">
        <v>242</v>
      </c>
      <c r="G16" s="66">
        <v>1</v>
      </c>
      <c r="H16" s="54" t="s">
        <v>265</v>
      </c>
    </row>
    <row r="17" spans="1:8" ht="29" customHeight="1">
      <c r="A17" s="13" t="s">
        <v>24</v>
      </c>
      <c r="B17" s="13" t="s">
        <v>23</v>
      </c>
      <c r="C17" s="57"/>
      <c r="D17" s="14">
        <f>(C17*Ref!C14)/16</f>
        <v>0</v>
      </c>
      <c r="E17" s="62">
        <v>1.5</v>
      </c>
      <c r="F17" s="54" t="s">
        <v>242</v>
      </c>
      <c r="G17" s="66">
        <v>1</v>
      </c>
      <c r="H17" s="54" t="s">
        <v>265</v>
      </c>
    </row>
    <row r="18" spans="1:8" ht="29" customHeight="1">
      <c r="A18" s="13" t="s">
        <v>25</v>
      </c>
      <c r="B18" s="13" t="s">
        <v>26</v>
      </c>
      <c r="C18" s="57"/>
      <c r="D18" s="14">
        <f>(C18*Ref!C15)/16</f>
        <v>0</v>
      </c>
      <c r="E18" s="62">
        <v>1</v>
      </c>
      <c r="F18" s="54" t="s">
        <v>243</v>
      </c>
      <c r="G18" s="66">
        <v>1</v>
      </c>
      <c r="H18" s="54" t="s">
        <v>290</v>
      </c>
    </row>
    <row r="19" spans="1:8" ht="29" customHeight="1">
      <c r="A19" s="13" t="s">
        <v>27</v>
      </c>
      <c r="B19" s="13" t="s">
        <v>28</v>
      </c>
      <c r="C19" s="57"/>
      <c r="D19" s="14">
        <f>(C19*Ref!C16)/16</f>
        <v>0</v>
      </c>
      <c r="E19" s="62">
        <v>0.75</v>
      </c>
      <c r="F19" s="54" t="s">
        <v>242</v>
      </c>
      <c r="G19" s="66">
        <v>1</v>
      </c>
      <c r="H19" s="54" t="s">
        <v>271</v>
      </c>
    </row>
    <row r="20" spans="1:8" ht="29" customHeight="1">
      <c r="A20" s="13" t="s">
        <v>29</v>
      </c>
      <c r="B20" s="13" t="s">
        <v>30</v>
      </c>
      <c r="C20" s="57"/>
      <c r="D20" s="14">
        <f>(C20*Ref!C17)/16</f>
        <v>0</v>
      </c>
      <c r="E20" s="62">
        <v>0.75</v>
      </c>
      <c r="F20" s="54" t="s">
        <v>244</v>
      </c>
      <c r="G20" s="66">
        <v>1</v>
      </c>
      <c r="H20" s="54" t="s">
        <v>266</v>
      </c>
    </row>
    <row r="21" spans="1:8" ht="29" customHeight="1">
      <c r="A21" s="13" t="s">
        <v>31</v>
      </c>
      <c r="B21" s="13" t="s">
        <v>28</v>
      </c>
      <c r="C21" s="57"/>
      <c r="D21" s="14">
        <f>(C21*Ref!C18)/16</f>
        <v>0</v>
      </c>
      <c r="E21" s="62">
        <v>0.75</v>
      </c>
      <c r="F21" s="54" t="s">
        <v>242</v>
      </c>
      <c r="G21" s="66">
        <v>1</v>
      </c>
      <c r="H21" s="54" t="s">
        <v>266</v>
      </c>
    </row>
    <row r="22" spans="1:8" ht="29" customHeight="1">
      <c r="A22" s="13" t="s">
        <v>32</v>
      </c>
      <c r="B22" s="13" t="s">
        <v>33</v>
      </c>
      <c r="C22" s="57"/>
      <c r="D22" s="14">
        <f>(C22*Ref!C19)/16</f>
        <v>0</v>
      </c>
      <c r="E22" s="62">
        <v>0.3</v>
      </c>
      <c r="F22" s="54" t="s">
        <v>222</v>
      </c>
      <c r="G22" s="66" t="s">
        <v>287</v>
      </c>
      <c r="H22" s="54" t="s">
        <v>292</v>
      </c>
    </row>
    <row r="23" spans="1:8" ht="29" customHeight="1">
      <c r="A23" s="13" t="s">
        <v>34</v>
      </c>
      <c r="B23" s="13" t="s">
        <v>35</v>
      </c>
      <c r="C23" s="57"/>
      <c r="D23" s="14">
        <f>(C23*Ref!C20)/16</f>
        <v>0</v>
      </c>
      <c r="E23" s="62">
        <v>0.5</v>
      </c>
      <c r="F23" s="54" t="s">
        <v>223</v>
      </c>
      <c r="G23" s="66" t="s">
        <v>288</v>
      </c>
      <c r="H23" s="54" t="s">
        <v>263</v>
      </c>
    </row>
    <row r="24" spans="1:8" ht="29" customHeight="1">
      <c r="A24" s="13" t="s">
        <v>36</v>
      </c>
      <c r="B24" s="13" t="s">
        <v>37</v>
      </c>
      <c r="C24" s="57"/>
      <c r="D24" s="14">
        <f>(C24*Ref!C21)/16</f>
        <v>0</v>
      </c>
      <c r="E24" s="62">
        <v>0.5</v>
      </c>
      <c r="F24" s="54" t="s">
        <v>224</v>
      </c>
      <c r="G24" s="66">
        <v>1</v>
      </c>
      <c r="H24" s="54" t="s">
        <v>263</v>
      </c>
    </row>
    <row r="25" spans="1:8" ht="29" customHeight="1">
      <c r="A25" s="13" t="s">
        <v>38</v>
      </c>
      <c r="B25" s="13" t="s">
        <v>33</v>
      </c>
      <c r="C25" s="57"/>
      <c r="D25" s="14">
        <f>(C25*Ref!C22)/16</f>
        <v>0</v>
      </c>
      <c r="E25" s="62">
        <v>0.3</v>
      </c>
      <c r="F25" s="54" t="s">
        <v>247</v>
      </c>
      <c r="G25" s="66">
        <v>6</v>
      </c>
      <c r="H25" s="54" t="s">
        <v>292</v>
      </c>
    </row>
    <row r="26" spans="1:8" ht="29" customHeight="1">
      <c r="A26" s="13" t="s">
        <v>39</v>
      </c>
      <c r="B26" s="13" t="s">
        <v>40</v>
      </c>
      <c r="C26" s="57"/>
      <c r="D26" s="14">
        <f>(C26*Ref!C23)/16</f>
        <v>0</v>
      </c>
      <c r="E26" s="62">
        <v>0.75</v>
      </c>
      <c r="F26" s="54" t="s">
        <v>246</v>
      </c>
      <c r="G26" s="66">
        <v>3</v>
      </c>
      <c r="H26" s="54" t="s">
        <v>267</v>
      </c>
    </row>
    <row r="27" spans="1:8" ht="29" customHeight="1">
      <c r="A27" s="13" t="s">
        <v>41</v>
      </c>
      <c r="B27" s="13" t="s">
        <v>35</v>
      </c>
      <c r="C27" s="57"/>
      <c r="D27" s="14">
        <f>(C27*Ref!C24)/16</f>
        <v>0</v>
      </c>
      <c r="E27" s="62">
        <v>0.5</v>
      </c>
      <c r="F27" s="54" t="s">
        <v>261</v>
      </c>
      <c r="G27" s="66">
        <v>2</v>
      </c>
      <c r="H27" s="54" t="s">
        <v>263</v>
      </c>
    </row>
    <row r="28" spans="1:8" ht="29" customHeight="1">
      <c r="A28" s="13" t="s">
        <v>42</v>
      </c>
      <c r="B28" s="13" t="s">
        <v>23</v>
      </c>
      <c r="C28" s="57"/>
      <c r="D28" s="14">
        <f>(C28*Ref!C25)/16</f>
        <v>0</v>
      </c>
      <c r="E28" s="62">
        <v>0.75</v>
      </c>
      <c r="F28" s="54" t="s">
        <v>245</v>
      </c>
      <c r="G28" s="66">
        <v>8</v>
      </c>
      <c r="H28" s="54" t="s">
        <v>266</v>
      </c>
    </row>
    <row r="29" spans="1:8" ht="29" customHeight="1">
      <c r="A29" s="13" t="s">
        <v>43</v>
      </c>
      <c r="B29" s="13" t="s">
        <v>44</v>
      </c>
      <c r="C29" s="57"/>
      <c r="D29" s="14">
        <f>(C29*Ref!C26)/16</f>
        <v>0</v>
      </c>
      <c r="E29" s="62">
        <v>0.75</v>
      </c>
      <c r="F29" s="54" t="s">
        <v>242</v>
      </c>
      <c r="G29" s="66">
        <v>1</v>
      </c>
      <c r="H29" s="54" t="s">
        <v>268</v>
      </c>
    </row>
    <row r="30" spans="1:8" ht="29" customHeight="1">
      <c r="A30" s="13" t="s">
        <v>45</v>
      </c>
      <c r="B30" s="13" t="s">
        <v>23</v>
      </c>
      <c r="C30" s="57"/>
      <c r="D30" s="14">
        <f>(C30*Ref!C27)/16</f>
        <v>0</v>
      </c>
      <c r="E30" s="62">
        <v>0.75</v>
      </c>
      <c r="F30" s="54" t="s">
        <v>248</v>
      </c>
      <c r="G30" s="66">
        <v>1</v>
      </c>
      <c r="H30" s="54" t="s">
        <v>263</v>
      </c>
    </row>
    <row r="31" spans="1:8" ht="29" customHeight="1">
      <c r="A31" s="13" t="s">
        <v>46</v>
      </c>
      <c r="B31" s="13" t="s">
        <v>47</v>
      </c>
      <c r="C31" s="57"/>
      <c r="D31" s="14">
        <f>(C31*Ref!C28)/16</f>
        <v>0</v>
      </c>
      <c r="E31" s="62">
        <v>0.1</v>
      </c>
      <c r="F31" s="54" t="s">
        <v>249</v>
      </c>
      <c r="G31" s="66">
        <v>1</v>
      </c>
      <c r="H31" s="54" t="s">
        <v>269</v>
      </c>
    </row>
    <row r="32" spans="1:8" ht="29" customHeight="1">
      <c r="A32" s="13" t="s">
        <v>48</v>
      </c>
      <c r="B32" s="13" t="s">
        <v>33</v>
      </c>
      <c r="C32" s="57"/>
      <c r="D32" s="14">
        <f>(C32*Ref!C29)/16</f>
        <v>0</v>
      </c>
      <c r="E32" s="62">
        <v>0.3</v>
      </c>
      <c r="F32" s="54" t="s">
        <v>250</v>
      </c>
      <c r="G32" s="66">
        <v>6</v>
      </c>
      <c r="H32" s="54" t="s">
        <v>292</v>
      </c>
    </row>
    <row r="33" spans="1:8" ht="29" customHeight="1">
      <c r="A33" s="13" t="s">
        <v>49</v>
      </c>
      <c r="B33" s="13" t="s">
        <v>50</v>
      </c>
      <c r="C33" s="57"/>
      <c r="D33" s="14">
        <f>(C33*Ref!C30)/16</f>
        <v>0</v>
      </c>
      <c r="E33" s="62">
        <v>0.4</v>
      </c>
      <c r="F33" s="54" t="s">
        <v>251</v>
      </c>
      <c r="G33" s="66">
        <v>1</v>
      </c>
      <c r="H33" s="54" t="s">
        <v>263</v>
      </c>
    </row>
    <row r="34" spans="1:8" ht="29" customHeight="1">
      <c r="A34" s="13" t="s">
        <v>51</v>
      </c>
      <c r="B34" s="13" t="s">
        <v>52</v>
      </c>
      <c r="C34" s="57"/>
      <c r="D34" s="14">
        <f>(C34*Ref!C31)/16</f>
        <v>0</v>
      </c>
      <c r="E34" s="62">
        <v>1</v>
      </c>
      <c r="F34" s="54" t="s">
        <v>252</v>
      </c>
      <c r="G34" s="66">
        <v>1</v>
      </c>
      <c r="H34" s="54" t="s">
        <v>266</v>
      </c>
    </row>
    <row r="35" spans="1:8" ht="29" customHeight="1">
      <c r="A35" s="13" t="s">
        <v>53</v>
      </c>
      <c r="B35" s="13" t="s">
        <v>54</v>
      </c>
      <c r="C35" s="57"/>
      <c r="D35" s="14">
        <f>(C35*Ref!C32)/16</f>
        <v>0</v>
      </c>
      <c r="E35" s="62">
        <v>0.75</v>
      </c>
      <c r="F35" s="54" t="s">
        <v>242</v>
      </c>
      <c r="G35" s="66">
        <v>1</v>
      </c>
      <c r="H35" s="54" t="s">
        <v>263</v>
      </c>
    </row>
    <row r="36" spans="1:8" ht="29" customHeight="1">
      <c r="A36" s="13" t="s">
        <v>55</v>
      </c>
      <c r="B36" s="13" t="s">
        <v>3</v>
      </c>
      <c r="C36" s="57"/>
      <c r="D36" s="14">
        <f>(C36*Ref!C33)/16</f>
        <v>0</v>
      </c>
      <c r="E36" s="62">
        <v>0.15</v>
      </c>
      <c r="F36" s="54" t="s">
        <v>225</v>
      </c>
      <c r="G36" s="66">
        <v>2</v>
      </c>
      <c r="H36" s="54" t="s">
        <v>263</v>
      </c>
    </row>
    <row r="37" spans="1:8" ht="29" customHeight="1">
      <c r="A37" s="13" t="s">
        <v>56</v>
      </c>
      <c r="B37" s="13" t="s">
        <v>3</v>
      </c>
      <c r="C37" s="57"/>
      <c r="D37" s="14">
        <f>(C37*Ref!C34)/16</f>
        <v>0</v>
      </c>
      <c r="E37" s="62">
        <v>0.1</v>
      </c>
      <c r="G37" s="66">
        <v>1</v>
      </c>
      <c r="H37" s="54" t="s">
        <v>270</v>
      </c>
    </row>
    <row r="38" spans="1:8" ht="29" customHeight="1">
      <c r="A38" s="13" t="s">
        <v>57</v>
      </c>
      <c r="B38" s="13" t="s">
        <v>17</v>
      </c>
      <c r="C38" s="57"/>
      <c r="D38" s="14">
        <f>(C38*Ref!C35)/16</f>
        <v>0</v>
      </c>
      <c r="E38" s="62">
        <v>1.5</v>
      </c>
      <c r="F38" s="54" t="s">
        <v>226</v>
      </c>
      <c r="G38" s="66">
        <v>3</v>
      </c>
      <c r="H38" s="54" t="s">
        <v>264</v>
      </c>
    </row>
    <row r="39" spans="1:8" ht="29" customHeight="1">
      <c r="A39" s="13" t="s">
        <v>58</v>
      </c>
      <c r="B39" s="13" t="s">
        <v>33</v>
      </c>
      <c r="C39" s="57"/>
      <c r="D39" s="14">
        <f>(C39*Ref!C36)/16</f>
        <v>0</v>
      </c>
      <c r="E39" s="62">
        <v>0.7</v>
      </c>
      <c r="F39" s="54" t="s">
        <v>227</v>
      </c>
      <c r="G39" s="66">
        <v>1</v>
      </c>
      <c r="H39" s="54" t="s">
        <v>271</v>
      </c>
    </row>
    <row r="40" spans="1:8" ht="29" customHeight="1">
      <c r="A40" s="13" t="s">
        <v>59</v>
      </c>
      <c r="B40" s="13" t="s">
        <v>60</v>
      </c>
      <c r="C40" s="57"/>
      <c r="D40" s="14">
        <f>(C40*Ref!C37)/16</f>
        <v>0</v>
      </c>
      <c r="E40" s="62">
        <v>0.2</v>
      </c>
      <c r="F40" s="54" t="s">
        <v>228</v>
      </c>
      <c r="G40" s="66">
        <v>12</v>
      </c>
      <c r="H40" s="54" t="s">
        <v>264</v>
      </c>
    </row>
    <row r="41" spans="1:8" ht="29" customHeight="1">
      <c r="A41" s="13" t="s">
        <v>61</v>
      </c>
      <c r="B41" s="13" t="s">
        <v>17</v>
      </c>
      <c r="C41" s="57"/>
      <c r="D41" s="14">
        <f>(C41*Ref!C38)/16</f>
        <v>0</v>
      </c>
      <c r="E41" s="62">
        <v>0.8</v>
      </c>
      <c r="F41" s="54" t="s">
        <v>253</v>
      </c>
      <c r="G41" s="66">
        <v>1</v>
      </c>
      <c r="H41" s="54" t="s">
        <v>272</v>
      </c>
    </row>
    <row r="42" spans="1:8" ht="29" customHeight="1">
      <c r="A42" s="13" t="s">
        <v>62</v>
      </c>
      <c r="B42" s="13" t="s">
        <v>35</v>
      </c>
      <c r="C42" s="57"/>
      <c r="D42" s="14">
        <f>(C42*Ref!C39)/16</f>
        <v>0</v>
      </c>
      <c r="E42" s="62">
        <v>0.2</v>
      </c>
      <c r="F42" s="54" t="s">
        <v>229</v>
      </c>
      <c r="G42" s="66">
        <v>12</v>
      </c>
      <c r="H42" s="54" t="s">
        <v>264</v>
      </c>
    </row>
    <row r="43" spans="1:8" ht="29" customHeight="1">
      <c r="A43" s="13" t="s">
        <v>63</v>
      </c>
      <c r="B43" s="13" t="s">
        <v>3</v>
      </c>
      <c r="C43" s="57"/>
      <c r="D43" s="14">
        <f>(C43*Ref!C40)/16</f>
        <v>0</v>
      </c>
      <c r="E43" s="62">
        <v>0.75</v>
      </c>
      <c r="F43" s="54" t="s">
        <v>243</v>
      </c>
      <c r="G43" s="66">
        <v>1</v>
      </c>
      <c r="H43" s="54" t="s">
        <v>272</v>
      </c>
    </row>
    <row r="44" spans="1:8" ht="29" customHeight="1">
      <c r="A44" s="13" t="s">
        <v>64</v>
      </c>
      <c r="B44" s="13" t="s">
        <v>65</v>
      </c>
      <c r="C44" s="57"/>
      <c r="D44" s="14">
        <f>(C44*Ref!C41)/16</f>
        <v>0</v>
      </c>
      <c r="E44" s="62">
        <v>1.3</v>
      </c>
      <c r="F44" s="54" t="s">
        <v>230</v>
      </c>
      <c r="G44" s="66">
        <v>1</v>
      </c>
      <c r="H44" s="54" t="s">
        <v>271</v>
      </c>
    </row>
    <row r="45" spans="1:8" ht="29" customHeight="1">
      <c r="A45" s="13" t="s">
        <v>66</v>
      </c>
      <c r="B45" s="13" t="s">
        <v>67</v>
      </c>
      <c r="C45" s="57"/>
      <c r="D45" s="14">
        <f>(C45*Ref!C42)/16</f>
        <v>0</v>
      </c>
      <c r="E45" s="62">
        <v>0.3</v>
      </c>
      <c r="F45" s="54" t="s">
        <v>258</v>
      </c>
      <c r="G45" s="66">
        <v>1</v>
      </c>
      <c r="H45" s="54" t="s">
        <v>272</v>
      </c>
    </row>
    <row r="46" spans="1:8" ht="29" customHeight="1">
      <c r="A46" s="13" t="s">
        <v>68</v>
      </c>
      <c r="B46" s="13" t="s">
        <v>69</v>
      </c>
      <c r="C46" s="57"/>
      <c r="D46" s="14">
        <f>(C46*Ref!C43)/16</f>
        <v>0</v>
      </c>
      <c r="E46" s="62">
        <v>0.25</v>
      </c>
      <c r="F46" s="54" t="s">
        <v>231</v>
      </c>
      <c r="G46" s="66">
        <v>3</v>
      </c>
      <c r="H46" s="54" t="s">
        <v>273</v>
      </c>
    </row>
    <row r="47" spans="1:8" ht="29" customHeight="1">
      <c r="A47" s="13" t="s">
        <v>70</v>
      </c>
      <c r="B47" s="13" t="s">
        <v>71</v>
      </c>
      <c r="C47" s="57"/>
      <c r="D47" s="14">
        <f>(C47*Ref!C44)/16</f>
        <v>0</v>
      </c>
      <c r="E47" s="62">
        <v>0.2</v>
      </c>
      <c r="F47" s="54" t="s">
        <v>232</v>
      </c>
      <c r="G47" s="66">
        <v>3</v>
      </c>
      <c r="H47" s="54" t="s">
        <v>273</v>
      </c>
    </row>
    <row r="48" spans="1:8" ht="29" customHeight="1">
      <c r="A48" s="13" t="s">
        <v>72</v>
      </c>
      <c r="B48" s="13" t="s">
        <v>73</v>
      </c>
      <c r="C48" s="57"/>
      <c r="D48" s="14">
        <f>(C48*Ref!C45)/16</f>
        <v>0</v>
      </c>
      <c r="E48" s="62">
        <v>0.5</v>
      </c>
      <c r="F48" s="54" t="s">
        <v>233</v>
      </c>
      <c r="G48" s="66">
        <v>8</v>
      </c>
      <c r="H48" s="54" t="s">
        <v>264</v>
      </c>
    </row>
    <row r="49" spans="1:8" ht="29" customHeight="1">
      <c r="A49" s="13" t="s">
        <v>74</v>
      </c>
      <c r="B49" s="13" t="s">
        <v>75</v>
      </c>
      <c r="C49" s="57"/>
      <c r="D49" s="14">
        <f>(C49*Ref!C46)/16</f>
        <v>0</v>
      </c>
      <c r="E49" s="62">
        <v>0.5</v>
      </c>
      <c r="F49" s="54" t="s">
        <v>233</v>
      </c>
      <c r="G49" s="66">
        <v>8</v>
      </c>
      <c r="H49" s="54" t="s">
        <v>264</v>
      </c>
    </row>
    <row r="50" spans="1:8" ht="29" customHeight="1">
      <c r="A50" s="13" t="s">
        <v>76</v>
      </c>
      <c r="B50" s="13" t="s">
        <v>77</v>
      </c>
      <c r="C50" s="57"/>
      <c r="D50" s="14">
        <f>(C50*Ref!C47)/16</f>
        <v>0</v>
      </c>
      <c r="E50" s="62">
        <v>3</v>
      </c>
      <c r="G50" s="66">
        <v>1</v>
      </c>
      <c r="H50" s="54" t="s">
        <v>272</v>
      </c>
    </row>
    <row r="51" spans="1:8" ht="29" customHeight="1">
      <c r="A51" s="13" t="s">
        <v>78</v>
      </c>
      <c r="B51" s="13" t="s">
        <v>19</v>
      </c>
      <c r="C51" s="57"/>
      <c r="D51" s="14">
        <f>(C51*Ref!C48)/16</f>
        <v>0</v>
      </c>
      <c r="E51" s="62">
        <v>0.5</v>
      </c>
      <c r="G51" s="66">
        <v>3</v>
      </c>
      <c r="H51" s="54" t="s">
        <v>274</v>
      </c>
    </row>
    <row r="52" spans="1:8" ht="29" customHeight="1">
      <c r="A52" s="13" t="s">
        <v>79</v>
      </c>
      <c r="B52" s="13" t="s">
        <v>80</v>
      </c>
      <c r="C52" s="57"/>
      <c r="D52" s="14">
        <f>(C52*Ref!C49)/16</f>
        <v>0</v>
      </c>
      <c r="E52" s="62">
        <v>0.75</v>
      </c>
      <c r="F52" s="54" t="s">
        <v>242</v>
      </c>
      <c r="G52" s="66">
        <v>1</v>
      </c>
      <c r="H52" s="54" t="s">
        <v>274</v>
      </c>
    </row>
    <row r="53" spans="1:8" ht="29" customHeight="1">
      <c r="A53" s="13" t="s">
        <v>81</v>
      </c>
      <c r="B53" s="13" t="s">
        <v>82</v>
      </c>
      <c r="C53" s="57"/>
      <c r="D53" s="14">
        <f>(C53*Ref!C50)/16</f>
        <v>0</v>
      </c>
      <c r="E53" s="62">
        <v>0.5</v>
      </c>
      <c r="F53" s="54" t="s">
        <v>254</v>
      </c>
      <c r="G53" s="66">
        <v>1</v>
      </c>
      <c r="H53" s="54" t="s">
        <v>263</v>
      </c>
    </row>
    <row r="54" spans="1:8" ht="29" customHeight="1">
      <c r="A54" s="13" t="s">
        <v>83</v>
      </c>
      <c r="B54" s="13" t="s">
        <v>84</v>
      </c>
      <c r="C54" s="57"/>
      <c r="D54" s="14">
        <f>(C54*Ref!C51)/16</f>
        <v>0</v>
      </c>
      <c r="E54" s="62">
        <v>1.5</v>
      </c>
      <c r="F54" s="54" t="s">
        <v>255</v>
      </c>
      <c r="G54" s="66">
        <v>1</v>
      </c>
      <c r="H54" s="54" t="s">
        <v>264</v>
      </c>
    </row>
    <row r="55" spans="1:8" ht="29" customHeight="1">
      <c r="A55" s="13" t="s">
        <v>85</v>
      </c>
      <c r="B55" s="13" t="s">
        <v>86</v>
      </c>
      <c r="C55" s="57"/>
      <c r="D55" s="14">
        <f>(C55*Ref!C52)/16</f>
        <v>0</v>
      </c>
      <c r="E55" s="62">
        <v>0.3</v>
      </c>
      <c r="G55" s="66">
        <v>1</v>
      </c>
      <c r="H55" s="54" t="s">
        <v>263</v>
      </c>
    </row>
    <row r="56" spans="1:8" ht="29" customHeight="1">
      <c r="A56" s="13" t="s">
        <v>87</v>
      </c>
      <c r="B56" s="13" t="s">
        <v>88</v>
      </c>
      <c r="C56" s="57"/>
      <c r="D56" s="14">
        <f>(C56*Ref!C53)/16</f>
        <v>0</v>
      </c>
      <c r="E56" s="62">
        <v>0.4</v>
      </c>
      <c r="F56" s="54" t="s">
        <v>259</v>
      </c>
      <c r="G56" s="66">
        <v>3</v>
      </c>
      <c r="H56" s="54" t="s">
        <v>274</v>
      </c>
    </row>
    <row r="57" spans="1:8" ht="29" customHeight="1">
      <c r="A57" s="13" t="s">
        <v>89</v>
      </c>
      <c r="B57" s="13" t="s">
        <v>90</v>
      </c>
      <c r="C57" s="57"/>
      <c r="D57" s="14">
        <f>(C57*Ref!C54)/16</f>
        <v>0</v>
      </c>
      <c r="E57" s="62">
        <v>1</v>
      </c>
      <c r="F57" s="54" t="s">
        <v>234</v>
      </c>
      <c r="G57" s="66">
        <v>5</v>
      </c>
      <c r="H57" s="54" t="s">
        <v>292</v>
      </c>
    </row>
    <row r="58" spans="1:8" ht="29" customHeight="1">
      <c r="A58" s="13" t="s">
        <v>91</v>
      </c>
      <c r="B58" s="13" t="s">
        <v>92</v>
      </c>
      <c r="C58" s="57"/>
      <c r="D58" s="14">
        <f>(C58*Ref!C55)/16</f>
        <v>0</v>
      </c>
      <c r="E58" s="63">
        <v>2</v>
      </c>
      <c r="F58" s="54" t="s">
        <v>235</v>
      </c>
      <c r="G58" s="66">
        <v>1</v>
      </c>
      <c r="H58" s="54" t="s">
        <v>264</v>
      </c>
    </row>
    <row r="59" spans="1:8" ht="29" customHeight="1">
      <c r="A59" s="13" t="s">
        <v>93</v>
      </c>
      <c r="B59" s="13" t="s">
        <v>92</v>
      </c>
      <c r="C59" s="57"/>
      <c r="D59" s="14">
        <f>(C59*Ref!C56)/16</f>
        <v>0</v>
      </c>
      <c r="E59" s="62">
        <v>1</v>
      </c>
      <c r="F59" s="54" t="s">
        <v>236</v>
      </c>
      <c r="G59" s="66">
        <v>1</v>
      </c>
      <c r="H59" s="54" t="s">
        <v>264</v>
      </c>
    </row>
    <row r="60" spans="1:8" ht="29" customHeight="1">
      <c r="A60" s="13" t="s">
        <v>94</v>
      </c>
      <c r="B60" s="13" t="s">
        <v>30</v>
      </c>
      <c r="C60" s="57"/>
      <c r="D60" s="14">
        <f>(C60*Ref!C57)/16</f>
        <v>0</v>
      </c>
      <c r="E60" s="62">
        <v>2</v>
      </c>
      <c r="G60" s="66">
        <v>1</v>
      </c>
      <c r="H60" s="54" t="s">
        <v>264</v>
      </c>
    </row>
    <row r="61" spans="1:8" ht="29" customHeight="1">
      <c r="A61" s="13" t="s">
        <v>95</v>
      </c>
      <c r="B61" s="13" t="s">
        <v>96</v>
      </c>
      <c r="C61" s="57"/>
      <c r="D61" s="14">
        <f>(C61*Ref!C58)/16</f>
        <v>0</v>
      </c>
      <c r="E61" s="62">
        <v>0.7</v>
      </c>
      <c r="F61" s="54" t="s">
        <v>237</v>
      </c>
      <c r="G61" s="66">
        <v>6</v>
      </c>
      <c r="H61" s="54" t="s">
        <v>264</v>
      </c>
    </row>
    <row r="62" spans="1:8" ht="29" customHeight="1">
      <c r="A62" s="13" t="s">
        <v>97</v>
      </c>
      <c r="B62" s="13" t="s">
        <v>98</v>
      </c>
      <c r="C62" s="57"/>
      <c r="D62" s="14">
        <f>(C62*Ref!C59)/16</f>
        <v>0</v>
      </c>
      <c r="E62" s="62">
        <v>1</v>
      </c>
      <c r="F62" s="54" t="s">
        <v>237</v>
      </c>
      <c r="G62" s="66">
        <v>6</v>
      </c>
      <c r="H62" s="54" t="s">
        <v>264</v>
      </c>
    </row>
    <row r="63" spans="1:8" ht="29" customHeight="1">
      <c r="A63" s="13" t="s">
        <v>99</v>
      </c>
      <c r="B63" s="13" t="s">
        <v>84</v>
      </c>
      <c r="C63" s="57"/>
      <c r="D63" s="14">
        <f>(C63*Ref!C60)/16</f>
        <v>0</v>
      </c>
      <c r="E63" s="62">
        <v>0.3</v>
      </c>
      <c r="F63" s="54" t="s">
        <v>251</v>
      </c>
      <c r="G63" s="66">
        <v>1</v>
      </c>
      <c r="H63" s="54" t="s">
        <v>265</v>
      </c>
    </row>
    <row r="64" spans="1:8" ht="29" customHeight="1">
      <c r="A64" s="13" t="s">
        <v>100</v>
      </c>
      <c r="B64" s="13" t="s">
        <v>101</v>
      </c>
      <c r="C64" s="57"/>
      <c r="D64" s="14">
        <f>(C64*Ref!C61)/16</f>
        <v>0</v>
      </c>
      <c r="E64" s="62">
        <v>2</v>
      </c>
      <c r="F64" s="54" t="s">
        <v>238</v>
      </c>
      <c r="G64" s="66">
        <v>1</v>
      </c>
      <c r="H64" s="54" t="s">
        <v>264</v>
      </c>
    </row>
    <row r="65" spans="1:7" ht="29" customHeight="1">
      <c r="A65" s="13"/>
      <c r="B65" s="13"/>
      <c r="C65" s="58"/>
      <c r="D65" s="15"/>
    </row>
    <row r="66" spans="1:7" ht="29" customHeight="1">
      <c r="C66" s="59"/>
      <c r="G66" s="54"/>
    </row>
    <row r="67" spans="1:7" ht="29" customHeight="1">
      <c r="C67" s="59"/>
      <c r="G67" s="54"/>
    </row>
    <row r="68" spans="1:7" ht="29" customHeight="1">
      <c r="C68" s="59"/>
      <c r="G68" s="54"/>
    </row>
    <row r="69" spans="1:7" ht="29" customHeight="1">
      <c r="C69" s="59"/>
      <c r="G69" s="54"/>
    </row>
    <row r="70" spans="1:7" ht="29" customHeight="1">
      <c r="C70" s="59"/>
      <c r="G70" s="54"/>
    </row>
    <row r="71" spans="1:7" ht="29" customHeight="1">
      <c r="C71" s="59"/>
      <c r="G71" s="54"/>
    </row>
    <row r="72" spans="1:7" ht="29" customHeight="1">
      <c r="C72" s="59"/>
      <c r="G72" s="54"/>
    </row>
    <row r="73" spans="1:7" ht="29" customHeight="1">
      <c r="C73" s="59"/>
      <c r="G73" s="54"/>
    </row>
    <row r="74" spans="1:7" ht="29" customHeight="1">
      <c r="C74" s="59"/>
      <c r="G74" s="54"/>
    </row>
    <row r="75" spans="1:7" ht="29" customHeight="1">
      <c r="C75" s="59"/>
      <c r="G75" s="54"/>
    </row>
    <row r="76" spans="1:7" ht="29" customHeight="1">
      <c r="C76" s="59"/>
      <c r="G76" s="54"/>
    </row>
    <row r="77" spans="1:7" ht="29" customHeight="1">
      <c r="C77" s="59"/>
      <c r="G77" s="54"/>
    </row>
    <row r="78" spans="1:7" ht="29" customHeight="1">
      <c r="C78" s="59"/>
      <c r="G78" s="54"/>
    </row>
    <row r="79" spans="1:7" ht="29" customHeight="1">
      <c r="C79" s="59"/>
      <c r="G79" s="54"/>
    </row>
    <row r="80" spans="1:7" ht="29" customHeight="1">
      <c r="C80" s="59"/>
      <c r="G80" s="54"/>
    </row>
    <row r="81" spans="3:7" ht="29" customHeight="1">
      <c r="C81" s="59"/>
      <c r="G81" s="54"/>
    </row>
    <row r="82" spans="3:7" ht="29" customHeight="1">
      <c r="C82" s="59"/>
      <c r="G82" s="54"/>
    </row>
    <row r="83" spans="3:7" ht="29" customHeight="1">
      <c r="C83" s="59"/>
      <c r="G83" s="54"/>
    </row>
    <row r="84" spans="3:7" ht="29" customHeight="1">
      <c r="C84" s="59"/>
      <c r="G84" s="54"/>
    </row>
    <row r="85" spans="3:7" ht="29" customHeight="1">
      <c r="C85" s="59"/>
      <c r="G85" s="54"/>
    </row>
    <row r="86" spans="3:7" ht="29" customHeight="1">
      <c r="C86" s="59"/>
      <c r="G86" s="54"/>
    </row>
    <row r="87" spans="3:7" ht="29" customHeight="1">
      <c r="C87" s="59"/>
      <c r="G87" s="54"/>
    </row>
    <row r="88" spans="3:7" ht="29" customHeight="1">
      <c r="C88" s="59"/>
      <c r="G88" s="54"/>
    </row>
    <row r="89" spans="3:7" ht="29" customHeight="1">
      <c r="C89" s="59"/>
      <c r="G89" s="54"/>
    </row>
    <row r="90" spans="3:7" ht="29" customHeight="1">
      <c r="C90" s="59"/>
      <c r="G90" s="54"/>
    </row>
    <row r="91" spans="3:7" ht="29" customHeight="1">
      <c r="C91" s="59"/>
      <c r="G91" s="54"/>
    </row>
    <row r="92" spans="3:7" ht="29" customHeight="1">
      <c r="C92" s="59"/>
      <c r="G92" s="54"/>
    </row>
    <row r="93" spans="3:7" ht="29" customHeight="1">
      <c r="C93" s="59"/>
      <c r="G93" s="54"/>
    </row>
    <row r="94" spans="3:7" ht="29" customHeight="1">
      <c r="C94" s="59"/>
      <c r="G94" s="54"/>
    </row>
    <row r="95" spans="3:7" ht="29" customHeight="1">
      <c r="C95" s="59"/>
      <c r="G95" s="54"/>
    </row>
    <row r="96" spans="3:7" ht="29" customHeight="1">
      <c r="C96" s="59"/>
      <c r="G96" s="54"/>
    </row>
    <row r="97" spans="3:7" ht="29" customHeight="1">
      <c r="C97" s="59"/>
      <c r="G97" s="54"/>
    </row>
    <row r="98" spans="3:7" ht="29" customHeight="1">
      <c r="C98" s="59"/>
      <c r="G98" s="54"/>
    </row>
    <row r="99" spans="3:7" ht="29" customHeight="1">
      <c r="C99" s="59"/>
      <c r="G99" s="54"/>
    </row>
    <row r="100" spans="3:7" ht="29" customHeight="1">
      <c r="C100" s="59"/>
      <c r="G100" s="54"/>
    </row>
    <row r="101" spans="3:7" ht="29" customHeight="1">
      <c r="C101" s="59"/>
      <c r="G101" s="54"/>
    </row>
    <row r="102" spans="3:7" ht="29" customHeight="1">
      <c r="C102" s="59"/>
      <c r="G102" s="54"/>
    </row>
    <row r="103" spans="3:7" ht="29" customHeight="1">
      <c r="C103" s="59"/>
      <c r="G103" s="54"/>
    </row>
    <row r="104" spans="3:7" ht="29" customHeight="1">
      <c r="C104" s="59"/>
      <c r="G104" s="54"/>
    </row>
    <row r="105" spans="3:7" ht="29" customHeight="1">
      <c r="C105" s="59"/>
      <c r="G105" s="54"/>
    </row>
    <row r="106" spans="3:7" ht="29" customHeight="1">
      <c r="C106" s="59"/>
      <c r="G106" s="54"/>
    </row>
    <row r="107" spans="3:7" ht="29" customHeight="1">
      <c r="C107" s="59"/>
      <c r="G107" s="54"/>
    </row>
    <row r="108" spans="3:7" ht="29" customHeight="1">
      <c r="C108" s="59"/>
      <c r="G108" s="54"/>
    </row>
    <row r="109" spans="3:7" ht="29" customHeight="1">
      <c r="C109" s="59"/>
      <c r="G109" s="54"/>
    </row>
    <row r="110" spans="3:7" ht="29" customHeight="1">
      <c r="C110" s="59"/>
      <c r="G110" s="54"/>
    </row>
    <row r="111" spans="3:7" ht="29" customHeight="1">
      <c r="C111" s="59"/>
      <c r="G111" s="54"/>
    </row>
    <row r="112" spans="3:7" ht="29" customHeight="1">
      <c r="C112" s="59"/>
      <c r="G112" s="54"/>
    </row>
    <row r="113" spans="3:7" ht="29" customHeight="1">
      <c r="C113" s="59"/>
      <c r="G113" s="54"/>
    </row>
    <row r="114" spans="3:7" ht="29" customHeight="1">
      <c r="C114" s="59"/>
      <c r="G114" s="54"/>
    </row>
    <row r="115" spans="3:7" ht="29" customHeight="1">
      <c r="C115" s="59"/>
      <c r="G115" s="54"/>
    </row>
    <row r="116" spans="3:7" ht="29" customHeight="1">
      <c r="C116" s="59"/>
      <c r="G116" s="54"/>
    </row>
    <row r="117" spans="3:7" ht="29" customHeight="1">
      <c r="C117" s="59"/>
      <c r="G117" s="54"/>
    </row>
    <row r="118" spans="3:7" ht="29" customHeight="1">
      <c r="C118" s="59"/>
      <c r="G118" s="54"/>
    </row>
    <row r="119" spans="3:7" ht="29" customHeight="1">
      <c r="C119" s="59"/>
      <c r="G119" s="54"/>
    </row>
    <row r="120" spans="3:7" ht="29" customHeight="1">
      <c r="C120" s="59"/>
      <c r="G120" s="54"/>
    </row>
    <row r="121" spans="3:7" ht="29" customHeight="1">
      <c r="C121" s="59"/>
      <c r="G121" s="54"/>
    </row>
    <row r="122" spans="3:7" ht="29" customHeight="1">
      <c r="C122" s="59"/>
      <c r="G122" s="54"/>
    </row>
    <row r="123" spans="3:7" ht="29" customHeight="1">
      <c r="C123" s="59"/>
      <c r="G123" s="54"/>
    </row>
    <row r="124" spans="3:7" ht="29" customHeight="1">
      <c r="C124" s="59"/>
      <c r="G124" s="54"/>
    </row>
    <row r="125" spans="3:7" ht="29" customHeight="1">
      <c r="C125" s="59"/>
      <c r="G125" s="54"/>
    </row>
    <row r="126" spans="3:7" ht="29" customHeight="1">
      <c r="C126" s="59"/>
      <c r="G126" s="54"/>
    </row>
    <row r="127" spans="3:7" ht="29" customHeight="1">
      <c r="C127" s="59"/>
      <c r="G127" s="54"/>
    </row>
    <row r="128" spans="3:7" ht="29" customHeight="1">
      <c r="C128" s="59"/>
      <c r="G128" s="54"/>
    </row>
    <row r="129" spans="3:7" ht="29" customHeight="1">
      <c r="C129" s="59"/>
      <c r="G129" s="54"/>
    </row>
    <row r="130" spans="3:7" ht="29" customHeight="1">
      <c r="C130" s="59"/>
      <c r="G130" s="54"/>
    </row>
    <row r="131" spans="3:7" ht="29" customHeight="1">
      <c r="C131" s="59"/>
      <c r="G131" s="54"/>
    </row>
    <row r="132" spans="3:7" ht="29" customHeight="1">
      <c r="C132" s="59"/>
      <c r="G132" s="54"/>
    </row>
    <row r="133" spans="3:7" ht="29" customHeight="1">
      <c r="C133" s="59"/>
      <c r="G133" s="54"/>
    </row>
    <row r="134" spans="3:7" ht="29" customHeight="1">
      <c r="C134" s="59"/>
      <c r="G134" s="54"/>
    </row>
    <row r="135" spans="3:7" ht="29" customHeight="1">
      <c r="C135" s="59"/>
      <c r="G135" s="54"/>
    </row>
    <row r="136" spans="3:7" ht="29" customHeight="1">
      <c r="C136" s="59"/>
      <c r="G136" s="54"/>
    </row>
    <row r="137" spans="3:7" ht="29" customHeight="1">
      <c r="C137" s="59"/>
      <c r="G137" s="54"/>
    </row>
    <row r="138" spans="3:7" ht="29" customHeight="1"/>
    <row r="139" spans="3:7" ht="29" customHeight="1"/>
    <row r="140" spans="3:7" ht="29" customHeight="1"/>
    <row r="141" spans="3:7" ht="29" customHeight="1"/>
    <row r="142" spans="3:7" ht="29" customHeight="1"/>
    <row r="143" spans="3:7" ht="29" customHeight="1"/>
    <row r="144" spans="3:7" ht="29" customHeight="1"/>
    <row r="145" ht="29" customHeight="1"/>
    <row r="146" ht="29" customHeight="1"/>
    <row r="147" ht="29" customHeight="1"/>
    <row r="148" ht="29" customHeight="1"/>
    <row r="149" ht="29" customHeight="1"/>
    <row r="150" ht="29" customHeight="1"/>
    <row r="151" ht="29" customHeight="1"/>
    <row r="152" ht="29" customHeight="1"/>
  </sheetData>
  <sheetProtection sheet="1" objects="1" scenarios="1"/>
  <phoneticPr fontId="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RowHeight="29" customHeight="1" x14ac:dyDescent="0"/>
  <cols>
    <col min="1" max="1" width="22.5" style="12" customWidth="1"/>
    <col min="2" max="2" width="13.6640625" style="12" customWidth="1"/>
    <col min="3" max="3" width="14.5" style="17" customWidth="1"/>
    <col min="4" max="4" width="19.1640625" style="17" customWidth="1"/>
    <col min="5" max="5" width="18.33203125" style="17" customWidth="1"/>
    <col min="6" max="6" width="19.6640625" style="17" customWidth="1"/>
    <col min="7" max="7" width="36" style="54" customWidth="1"/>
    <col min="8" max="8" width="25.1640625" style="12" customWidth="1"/>
    <col min="9" max="9" width="23.1640625" style="16" customWidth="1"/>
    <col min="10" max="10" width="13.5" style="20" customWidth="1"/>
    <col min="11" max="11" width="24.1640625" style="18" customWidth="1"/>
    <col min="12" max="16384" width="10.83203125" style="12"/>
  </cols>
  <sheetData>
    <row r="1" spans="1:11" ht="60" customHeight="1">
      <c r="A1" s="7" t="s">
        <v>322</v>
      </c>
      <c r="B1" s="21">
        <f>'Garden Data Entry'!B1</f>
        <v>42139</v>
      </c>
      <c r="C1" s="22" t="s">
        <v>299</v>
      </c>
      <c r="D1" s="23">
        <f>B2-B1</f>
        <v>139</v>
      </c>
      <c r="H1" s="5"/>
      <c r="I1" s="19"/>
    </row>
    <row r="2" spans="1:11" ht="69" customHeight="1">
      <c r="A2" s="7" t="s">
        <v>323</v>
      </c>
      <c r="B2" s="31">
        <f>'Garden Data Entry'!B2</f>
        <v>42278</v>
      </c>
      <c r="H2" s="76" t="s">
        <v>310</v>
      </c>
      <c r="I2" s="76"/>
      <c r="J2" s="76"/>
      <c r="K2" s="76"/>
    </row>
    <row r="3" spans="1:11" ht="114" customHeight="1">
      <c r="B3" s="24" t="s">
        <v>308</v>
      </c>
      <c r="C3" s="25" t="s">
        <v>294</v>
      </c>
      <c r="D3" s="25" t="s">
        <v>295</v>
      </c>
      <c r="E3" s="25" t="s">
        <v>296</v>
      </c>
      <c r="F3" s="42" t="s">
        <v>297</v>
      </c>
      <c r="G3" s="62" t="s">
        <v>309</v>
      </c>
      <c r="H3" s="46" t="s">
        <v>311</v>
      </c>
      <c r="I3" s="28" t="s">
        <v>312</v>
      </c>
      <c r="J3" s="29" t="s">
        <v>305</v>
      </c>
      <c r="K3" s="30" t="s">
        <v>313</v>
      </c>
    </row>
    <row r="4" spans="1:11" ht="54" customHeight="1">
      <c r="A4" s="5" t="s">
        <v>192</v>
      </c>
      <c r="B4" s="22" t="s">
        <v>293</v>
      </c>
      <c r="C4" s="22" t="s">
        <v>293</v>
      </c>
      <c r="D4" s="22" t="s">
        <v>293</v>
      </c>
      <c r="E4" s="22" t="s">
        <v>293</v>
      </c>
      <c r="F4" s="43" t="s">
        <v>293</v>
      </c>
      <c r="G4" s="61" t="s">
        <v>326</v>
      </c>
      <c r="H4" s="47" t="s">
        <v>293</v>
      </c>
      <c r="I4" s="22" t="s">
        <v>293</v>
      </c>
      <c r="J4" s="22" t="s">
        <v>293</v>
      </c>
      <c r="K4" s="22" t="s">
        <v>293</v>
      </c>
    </row>
    <row r="5" spans="1:11" ht="29" customHeight="1">
      <c r="A5" s="12" t="str">
        <f>'Garden Data Entry'!A5</f>
        <v>Arugula</v>
      </c>
      <c r="B5" s="23">
        <f>IF('Garden Data Entry'!D5&gt;0,('Garden Data Entry'!D5/'Garden Data Entry'!E5)*1.2,0)</f>
        <v>0</v>
      </c>
      <c r="C5" s="26" t="str">
        <f>IF(B5&gt;0,$B$1-28,"")</f>
        <v/>
      </c>
      <c r="D5" s="26" t="str">
        <f>IF(B5&gt;0,"DS is preferred","")</f>
        <v/>
      </c>
      <c r="E5" s="26" t="str">
        <f>IF(B5&gt;0,$B$2-21,"")</f>
        <v/>
      </c>
      <c r="F5" s="44" t="str">
        <f>IF(B5&gt;0,"DS is preferred","")</f>
        <v/>
      </c>
      <c r="G5" s="62" t="str">
        <f>IF(B5&gt;0,'Garden Data Entry'!H5,"")</f>
        <v/>
      </c>
      <c r="H5" s="48" t="str">
        <f>IF(B5&gt;0,IF(OR(Ref!D2="Not Recommended",Ref!D2="NA"),Ref!D2,D5-Ref!D2),"")</f>
        <v/>
      </c>
      <c r="I5" s="21" t="str">
        <f>IF(B5&gt;0,IF(OR(Ref!D2="Not Recommended",Ref!D2="NA"),Ref!D2,IF(ISTEXT(F5),F5,F5-Ref!D2)),"")</f>
        <v/>
      </c>
      <c r="J5" s="23" t="str">
        <f>IF(B5&gt;0,IF(Ref!F2="DS","NA",ROUNDUP(B5*Ref!E2,0)),"")</f>
        <v/>
      </c>
      <c r="K5" s="23" t="str">
        <f>IF(ISTEXT(J5),"NA",J5*1.2)</f>
        <v>NA</v>
      </c>
    </row>
    <row r="6" spans="1:11" ht="29" customHeight="1">
      <c r="A6" s="12" t="str">
        <f>'Garden Data Entry'!A6</f>
        <v>Basil</v>
      </c>
      <c r="B6" s="23">
        <f>IF('Garden Data Entry'!D6&gt;0,('Garden Data Entry'!D6/'Garden Data Entry'!E6)*1.2,0)</f>
        <v>0</v>
      </c>
      <c r="C6" s="26" t="str">
        <f>IF(B6&gt;0,$B$1+28,"")</f>
        <v/>
      </c>
      <c r="D6" s="26" t="str">
        <f>IF(B6&gt;0,$B$1+21,"")</f>
        <v/>
      </c>
      <c r="E6" s="26" t="str">
        <f>IF(B6&gt;0,IF($B$2-105&lt;C6,"NA",$B$2-105),"")</f>
        <v/>
      </c>
      <c r="F6" s="44" t="str">
        <f>IF(B6&gt;0,IF($B$2-91&lt;D6,"One Planting",$B$2-91),"")</f>
        <v/>
      </c>
      <c r="G6" s="62" t="str">
        <f>IF(B6&gt;0,'Garden Data Entry'!H6,"")</f>
        <v/>
      </c>
      <c r="H6" s="49" t="str">
        <f>IF(B6&gt;0,IF(OR(Ref!D3="Not Recommended",Ref!D3="NA"),Ref!D3,D6-Ref!D3),"")</f>
        <v/>
      </c>
      <c r="I6" s="21" t="str">
        <f>IF(B6&gt;0,IF(OR(Ref!D3="Not Recommended",Ref!D3="NA"),Ref!D3,IF(ISTEXT(F6),F6,F6-Ref!D3)),"")</f>
        <v/>
      </c>
      <c r="J6" s="23" t="str">
        <f>IF(B6&gt;0,IF(Ref!F3="DS","NA",ROUNDUP(B6*Ref!E3,0)),"")</f>
        <v/>
      </c>
      <c r="K6" s="23" t="str">
        <f>IF(ISTEXT(J6),"NA",J6*1.2)</f>
        <v>NA</v>
      </c>
    </row>
    <row r="7" spans="1:11" ht="29" customHeight="1">
      <c r="A7" s="12" t="str">
        <f>'Garden Data Entry'!A7</f>
        <v>Beans, Edible Soy (Edamame)</v>
      </c>
      <c r="B7" s="23">
        <f>IF('Garden Data Entry'!D7&gt;0,('Garden Data Entry'!D7/'Garden Data Entry'!E7)*1.2,0)</f>
        <v>0</v>
      </c>
      <c r="C7" s="26" t="str">
        <f>IF(B7&gt;0,$B$1,"")</f>
        <v/>
      </c>
      <c r="D7" s="26" t="str">
        <f>IF(B7&gt;0,$B$1+14,"")</f>
        <v/>
      </c>
      <c r="E7" s="26" t="str">
        <f>IF(B7&gt;0,IF($B$2-112&lt;C7,"NA",$B$2-112),"")</f>
        <v/>
      </c>
      <c r="F7" s="44" t="str">
        <f>IF(B7&gt;0,IF($B$2-98&lt;D7,"One Planting",$B$2-98),"")</f>
        <v/>
      </c>
      <c r="G7" s="62" t="str">
        <f>IF(B7&gt;0,'Garden Data Entry'!H7,"")</f>
        <v/>
      </c>
      <c r="H7" s="49" t="str">
        <f>IF(B7&gt;0,IF(OR(Ref!D4="Not Recommended",Ref!D4="NA"),Ref!D4,D7-Ref!D4),"")</f>
        <v/>
      </c>
      <c r="I7" s="21" t="str">
        <f>IF(B7&gt;0,IF(OR(Ref!D4="Not Recommended",Ref!D4="NA"),Ref!D4,IF(ISTEXT(F7),F7,F7-Ref!D4)),"")</f>
        <v/>
      </c>
      <c r="J7" s="23" t="str">
        <f>IF(B7&gt;0,IF(Ref!F4="DS","NA",ROUNDUP(B7*Ref!E4,0)),"")</f>
        <v/>
      </c>
      <c r="K7" s="23" t="str">
        <f t="shared" ref="K7:K64" si="0">IF(ISTEXT(J7),"NA",J7*1.2)</f>
        <v>NA</v>
      </c>
    </row>
    <row r="8" spans="1:11" ht="46" customHeight="1">
      <c r="A8" s="12" t="str">
        <f>'Garden Data Entry'!A8</f>
        <v>Beans, Fava (Broad)</v>
      </c>
      <c r="B8" s="23">
        <f>IF('Garden Data Entry'!D8&gt;0,('Garden Data Entry'!D8/'Garden Data Entry'!E8)*1.2,0)</f>
        <v>0</v>
      </c>
      <c r="C8" s="26" t="str">
        <f>IF(B8&gt;0,$B$1-70,"")</f>
        <v/>
      </c>
      <c r="D8" s="26" t="str">
        <f>IF(B8&gt;0,$B$1-70,"")</f>
        <v/>
      </c>
      <c r="E8" s="26" t="str">
        <f>IF(B8&gt;0,"Varies considerably with climate","")</f>
        <v/>
      </c>
      <c r="F8" s="44" t="str">
        <f>IF(B8&gt;0,"Varies considerably with climate","")</f>
        <v/>
      </c>
      <c r="G8" s="62" t="str">
        <f>IF(B8&gt;0,'Garden Data Entry'!H8,"")</f>
        <v/>
      </c>
      <c r="H8" s="49" t="str">
        <f>IF(B8&gt;0,IF(OR(Ref!D5="Not Recommended",Ref!D5="NA"),Ref!D5,D8-Ref!D5),"")</f>
        <v/>
      </c>
      <c r="I8" s="21" t="str">
        <f>IF(B8&gt;0,IF(OR(Ref!D5="Not Recommended",Ref!D5="NA"),Ref!D5,IF(ISTEXT(F8),F8,F8-Ref!D5)),"")</f>
        <v/>
      </c>
      <c r="J8" s="23" t="str">
        <f>IF(B8&gt;0,IF(Ref!F5="DS","NA",ROUNDUP(B8*Ref!E5,0)),"")</f>
        <v/>
      </c>
      <c r="K8" s="23" t="str">
        <f t="shared" si="0"/>
        <v>NA</v>
      </c>
    </row>
    <row r="9" spans="1:11" ht="29" customHeight="1">
      <c r="A9" s="12" t="str">
        <f>'Garden Data Entry'!A9</f>
        <v>Beans, Lima</v>
      </c>
      <c r="B9" s="23">
        <f>IF('Garden Data Entry'!D9&gt;0,('Garden Data Entry'!D9/'Garden Data Entry'!E9)*1.2,0)</f>
        <v>0</v>
      </c>
      <c r="C9" s="26" t="str">
        <f>IF(B9&gt;0,$B$1+28,"")</f>
        <v/>
      </c>
      <c r="D9" s="26" t="str">
        <f t="shared" ref="D9:D12" si="1">IF(B9&gt;0,$B$1+14,"")</f>
        <v/>
      </c>
      <c r="E9" s="26" t="str">
        <f>IF(B9&gt;0,IF($B$2-112&lt;C9,"NA",$B$2-112),"")</f>
        <v/>
      </c>
      <c r="F9" s="44" t="str">
        <f>IF(B9&gt;0,IF($B$2-98&lt;D9,"One Planting",$B$2-98),"")</f>
        <v/>
      </c>
      <c r="G9" s="62" t="str">
        <f>IF(B9&gt;0,'Garden Data Entry'!H9,"")</f>
        <v/>
      </c>
      <c r="H9" s="49" t="str">
        <f>IF(B9&gt;0,IF(OR(Ref!D6="Not Recommended",Ref!D6="NA"),Ref!D6,D9-Ref!D6),"")</f>
        <v/>
      </c>
      <c r="I9" s="21" t="str">
        <f>IF(B9&gt;0,IF(OR(Ref!D6="Not Recommended",Ref!D6="NA"),Ref!D6,IF(ISTEXT(F9),F9,F9-Ref!D6)),"")</f>
        <v/>
      </c>
      <c r="J9" s="23" t="str">
        <f>IF(B9&gt;0,IF(Ref!F6="DS","NA",ROUNDUP(B9*Ref!E6,0)),"")</f>
        <v/>
      </c>
      <c r="K9" s="23" t="str">
        <f t="shared" si="0"/>
        <v>NA</v>
      </c>
    </row>
    <row r="10" spans="1:11" ht="29" customHeight="1">
      <c r="A10" s="12" t="str">
        <f>'Garden Data Entry'!A10</f>
        <v>Beans, Snap (bush types)</v>
      </c>
      <c r="B10" s="23">
        <f>IF('Garden Data Entry'!D10&gt;0,('Garden Data Entry'!D10/'Garden Data Entry'!E10)*1.2,0)</f>
        <v>0</v>
      </c>
      <c r="C10" s="26" t="str">
        <f>IF(B10&gt;0,$B$1,"")</f>
        <v/>
      </c>
      <c r="D10" s="26" t="str">
        <f t="shared" si="1"/>
        <v/>
      </c>
      <c r="E10" s="26" t="str">
        <f>IF(B10&gt;0,IF($B$2-70&lt;C10,"NA",$B$2-70),"")</f>
        <v/>
      </c>
      <c r="F10" s="44" t="str">
        <f>IF(B10&gt;0,IF($B$2-56&lt;D10,"One Planting",$B$2-56),"")</f>
        <v/>
      </c>
      <c r="G10" s="62" t="str">
        <f>IF(B10&gt;0,'Garden Data Entry'!H10,"")</f>
        <v/>
      </c>
      <c r="H10" s="49" t="str">
        <f>IF(B10&gt;0,IF(OR(Ref!D7="Not Recommended",Ref!D7="NA"),Ref!D7,D10-Ref!D7),"")</f>
        <v/>
      </c>
      <c r="I10" s="21" t="str">
        <f>IF(B10&gt;0,IF(OR(Ref!D7="Not Recommended",Ref!D7="NA"),Ref!D7,IF(ISTEXT(F10),F10,F10-Ref!D7)),"")</f>
        <v/>
      </c>
      <c r="J10" s="23" t="str">
        <f>IF(B10&gt;0,IF(Ref!F7="DS","NA",ROUNDUP(B10*Ref!E7,0)),"")</f>
        <v/>
      </c>
      <c r="K10" s="23" t="str">
        <f t="shared" si="0"/>
        <v>NA</v>
      </c>
    </row>
    <row r="11" spans="1:11" ht="29" customHeight="1">
      <c r="A11" s="12" t="str">
        <f>'Garden Data Entry'!A11</f>
        <v>Beans, Snap (pole types)</v>
      </c>
      <c r="B11" s="23">
        <f>IF('Garden Data Entry'!D11&gt;0,('Garden Data Entry'!D11/'Garden Data Entry'!E11)*1.2,0)</f>
        <v>0</v>
      </c>
      <c r="C11" s="26" t="str">
        <f t="shared" ref="C11:C12" si="2">IF(B11&gt;0,$B$1,"")</f>
        <v/>
      </c>
      <c r="D11" s="26" t="str">
        <f t="shared" si="1"/>
        <v/>
      </c>
      <c r="E11" s="26" t="str">
        <f>IF(B11&gt;0,IF($B$2-91&lt;C11,"NA",$B$2-91),"")</f>
        <v/>
      </c>
      <c r="F11" s="44" t="str">
        <f>IF(B11&gt;0,IF($B$2-84&lt;D11,"One Planting",$B$2-84),"")</f>
        <v/>
      </c>
      <c r="G11" s="62" t="str">
        <f>IF(B11&gt;0,'Garden Data Entry'!H11,"")</f>
        <v/>
      </c>
      <c r="H11" s="49" t="str">
        <f>IF(B11&gt;0,IF(OR(Ref!D8="Not Recommended",Ref!D8="NA"),Ref!D8,D11-Ref!D8),"")</f>
        <v/>
      </c>
      <c r="I11" s="21" t="str">
        <f>IF(B11&gt;0,IF(OR(Ref!D8="Not Recommended",Ref!D8="NA"),Ref!D8,IF(ISTEXT(F11),F11,F11-Ref!D8)),"")</f>
        <v/>
      </c>
      <c r="J11" s="23" t="str">
        <f>IF(B11&gt;0,IF(Ref!F8="DS","NA",ROUNDUP(B11*Ref!E8,0)),"")</f>
        <v/>
      </c>
      <c r="K11" s="23" t="str">
        <f t="shared" si="0"/>
        <v>NA</v>
      </c>
    </row>
    <row r="12" spans="1:11" ht="29" customHeight="1">
      <c r="A12" s="12" t="str">
        <f>'Garden Data Entry'!A12</f>
        <v>Beans, Shell</v>
      </c>
      <c r="B12" s="23">
        <f>IF('Garden Data Entry'!D12&gt;0,('Garden Data Entry'!D12/'Garden Data Entry'!E12)*1.2,0)</f>
        <v>0</v>
      </c>
      <c r="C12" s="26" t="str">
        <f t="shared" si="2"/>
        <v/>
      </c>
      <c r="D12" s="26" t="str">
        <f t="shared" si="1"/>
        <v/>
      </c>
      <c r="E12" s="26" t="str">
        <f>IF(B12&gt;0,IF($B$2-98&lt;C12,"NA",$B$2-98),"")</f>
        <v/>
      </c>
      <c r="F12" s="44" t="str">
        <f>IF(B12&gt;0,IF($B$2-91&lt;D12,"One Planting",$B$2-91),"")</f>
        <v/>
      </c>
      <c r="G12" s="62" t="str">
        <f>IF(B12&gt;0,'Garden Data Entry'!H12,"")</f>
        <v/>
      </c>
      <c r="H12" s="49" t="str">
        <f>IF(B12&gt;0,IF(OR(Ref!D9="Not Recommended",Ref!D9="NA"),Ref!D9,D12-Ref!D9),"")</f>
        <v/>
      </c>
      <c r="I12" s="21" t="str">
        <f>IF(B12&gt;0,IF(OR(Ref!D9="Not Recommended",Ref!D9="NA"),Ref!D9,IF(ISTEXT(F12),F12,F12-Ref!D9)),"")</f>
        <v/>
      </c>
      <c r="J12" s="23" t="str">
        <f>IF(B12&gt;0,IF(Ref!F9="DS","NA",ROUNDUP(B12*Ref!E9,0)),"")</f>
        <v/>
      </c>
      <c r="K12" s="23" t="str">
        <f t="shared" si="0"/>
        <v>NA</v>
      </c>
    </row>
    <row r="13" spans="1:11" ht="29" customHeight="1">
      <c r="A13" s="12" t="str">
        <f>'Garden Data Entry'!A13</f>
        <v>Beets</v>
      </c>
      <c r="B13" s="23">
        <f>IF('Garden Data Entry'!D13&gt;0,('Garden Data Entry'!D13/'Garden Data Entry'!E13)*1.2,0)</f>
        <v>0</v>
      </c>
      <c r="C13" s="26" t="str">
        <f>IF(B13&gt;0,$B$1,"")</f>
        <v/>
      </c>
      <c r="D13" s="26" t="str">
        <f>IF(B13&gt;0,"Not Recommended","")</f>
        <v/>
      </c>
      <c r="E13" s="26" t="str">
        <f>IF(B13&gt;0,IF($B$2-84&lt;C13,"NA",$B$2-84),"")</f>
        <v/>
      </c>
      <c r="F13" s="44" t="str">
        <f>IF(B13&gt;0,"Not Recommended","")</f>
        <v/>
      </c>
      <c r="G13" s="62" t="str">
        <f>IF(B13&gt;0,'Garden Data Entry'!H13,"")</f>
        <v/>
      </c>
      <c r="H13" s="49" t="str">
        <f>IF(B13&gt;0,IF(OR(Ref!D10="Not Recommended",Ref!D10="NA"),Ref!D10,D13-Ref!D10),"")</f>
        <v/>
      </c>
      <c r="I13" s="21" t="str">
        <f>IF(B13&gt;0,IF(OR(Ref!D10="Not Recommended",Ref!D10="NA"),Ref!D10,IF(ISTEXT(F13),F13,F13-Ref!D10)),"")</f>
        <v/>
      </c>
      <c r="J13" s="23" t="str">
        <f>IF(B13&gt;0,IF(Ref!F10="DS","NA",ROUNDUP(B13*Ref!E10,0)),"")</f>
        <v/>
      </c>
      <c r="K13" s="23" t="str">
        <f t="shared" si="0"/>
        <v>NA</v>
      </c>
    </row>
    <row r="14" spans="1:11" ht="29" customHeight="1">
      <c r="A14" s="12" t="str">
        <f>'Garden Data Entry'!A14</f>
        <v>Broccoli</v>
      </c>
      <c r="B14" s="23">
        <f>IF('Garden Data Entry'!D14&gt;0,('Garden Data Entry'!D14/'Garden Data Entry'!E14)*1.2,0)</f>
        <v>0</v>
      </c>
      <c r="C14" s="26" t="str">
        <f>IF(B14&gt;0,$B$1+14,"")</f>
        <v/>
      </c>
      <c r="D14" s="26" t="str">
        <f>IF(B14&gt;0,$B$1-14,"")</f>
        <v/>
      </c>
      <c r="E14" s="26" t="str">
        <f>IF(B14&gt;0,IF($B$2-84&lt;C14,"NA",$B$2-84),"")</f>
        <v/>
      </c>
      <c r="F14" s="44" t="str">
        <f>IF(B14&gt;0,IF($B$2-70&lt;D14,"One Planting",$B$2-70),"")</f>
        <v/>
      </c>
      <c r="G14" s="62" t="str">
        <f>IF(B14&gt;0,'Garden Data Entry'!H14,"")</f>
        <v/>
      </c>
      <c r="H14" s="49" t="str">
        <f>IF(B14&gt;0,IF(OR(Ref!D11="Not Recommended",Ref!D11="NA"),Ref!D11,D14-Ref!D11),"")</f>
        <v/>
      </c>
      <c r="I14" s="21" t="str">
        <f>IF(B14&gt;0,IF(OR(Ref!D11="Not Recommended",Ref!D11="NA"),Ref!D11,IF(ISTEXT(F14),F14,F14-Ref!D11)),"")</f>
        <v/>
      </c>
      <c r="J14" s="23" t="str">
        <f>IF(B14&gt;0,IF(Ref!F11="DS","NA",ROUNDUP(B14*Ref!E11,0)),"")</f>
        <v/>
      </c>
      <c r="K14" s="23" t="str">
        <f t="shared" si="0"/>
        <v>NA</v>
      </c>
    </row>
    <row r="15" spans="1:11" ht="29" customHeight="1">
      <c r="A15" s="12" t="str">
        <f>'Garden Data Entry'!A15</f>
        <v>Brussels Sprouts</v>
      </c>
      <c r="B15" s="23">
        <f>IF('Garden Data Entry'!D15&gt;0,('Garden Data Entry'!D15/'Garden Data Entry'!E15)*1.2,0)</f>
        <v>0</v>
      </c>
      <c r="C15" s="26" t="str">
        <f t="shared" ref="C15:C21" si="3">IF(B15&gt;0,$B$1+14,"")</f>
        <v/>
      </c>
      <c r="D15" s="26" t="str">
        <f>IF(B15&gt;0,$B$1,"")</f>
        <v/>
      </c>
      <c r="E15" s="26" t="str">
        <f>IF(B15&gt;0,IF($B$2-112&lt;C15,"NA",$B$2-112),"")</f>
        <v/>
      </c>
      <c r="F15" s="44" t="str">
        <f>IF(B15&gt;0,IF($B$2-112&lt;D15,"One Planting",$B$2-112),"")</f>
        <v/>
      </c>
      <c r="G15" s="62" t="str">
        <f>IF(B15&gt;0,'Garden Data Entry'!H15,"")</f>
        <v/>
      </c>
      <c r="H15" s="49" t="str">
        <f>IF(B15&gt;0,IF(OR(Ref!D12="Not Recommended",Ref!D12="NA"),Ref!D12,D15-Ref!D12),"")</f>
        <v/>
      </c>
      <c r="I15" s="21" t="str">
        <f>IF(B15&gt;0,IF(OR(Ref!D12="Not Recommended",Ref!D12="NA"),Ref!D12,IF(ISTEXT(F15),F15,F15-Ref!D12)),"")</f>
        <v/>
      </c>
      <c r="J15" s="23" t="str">
        <f>IF(B15&gt;0,IF(Ref!F12="DS","NA",ROUNDUP(B15*Ref!E12,0)),"")</f>
        <v/>
      </c>
      <c r="K15" s="23" t="str">
        <f t="shared" si="0"/>
        <v>NA</v>
      </c>
    </row>
    <row r="16" spans="1:11" ht="29" customHeight="1">
      <c r="A16" s="12" t="str">
        <f>'Garden Data Entry'!A16</f>
        <v>Cabbage</v>
      </c>
      <c r="B16" s="23">
        <f>IF('Garden Data Entry'!D16&gt;0,('Garden Data Entry'!D16/'Garden Data Entry'!E16)*1.2,0)</f>
        <v>0</v>
      </c>
      <c r="C16" s="26" t="str">
        <f>IF(B16&gt;0,$B$1-14,"")</f>
        <v/>
      </c>
      <c r="D16" s="26" t="str">
        <f>IF(B16&gt;0,$B$1-14,"")</f>
        <v/>
      </c>
      <c r="E16" s="26" t="str">
        <f>IF(B16&gt;0,IF($B$2-98&lt;C16,"NA",$B$2-98),"")</f>
        <v/>
      </c>
      <c r="F16" s="44" t="str">
        <f>IF(B16&gt;0,IF($B$2-84&lt;D16,"One Planting",$B$2-84),"")</f>
        <v/>
      </c>
      <c r="G16" s="62" t="str">
        <f>IF(B16&gt;0,'Garden Data Entry'!H16,"")</f>
        <v/>
      </c>
      <c r="H16" s="49" t="str">
        <f>IF(B16&gt;0,IF(OR(Ref!D13="Not Recommended",Ref!D13="NA"),Ref!D13,D16-Ref!D13),"")</f>
        <v/>
      </c>
      <c r="I16" s="21" t="str">
        <f>IF(B16&gt;0,IF(OR(Ref!D13="Not Recommended",Ref!D13="NA"),Ref!D13,IF(ISTEXT(F16),F16,F16-Ref!D13)),"")</f>
        <v/>
      </c>
      <c r="J16" s="23" t="str">
        <f>IF(B16&gt;0,IF(Ref!F13="DS","NA",ROUNDUP(B16*Ref!E13,0)),"")</f>
        <v/>
      </c>
      <c r="K16" s="23" t="str">
        <f t="shared" si="0"/>
        <v>NA</v>
      </c>
    </row>
    <row r="17" spans="1:11" ht="29" customHeight="1">
      <c r="A17" s="12" t="str">
        <f>'Garden Data Entry'!A17</f>
        <v>Cabbage, Chinese</v>
      </c>
      <c r="B17" s="23">
        <f>IF('Garden Data Entry'!D17&gt;0,('Garden Data Entry'!D17/'Garden Data Entry'!E17)*1.2,0)</f>
        <v>0</v>
      </c>
      <c r="C17" s="26" t="str">
        <f>IF(B17&gt;0,$B$1-14,"")</f>
        <v/>
      </c>
      <c r="D17" s="26" t="str">
        <f>IF(B17&gt;0,$B$1,"")</f>
        <v/>
      </c>
      <c r="E17" s="26" t="str">
        <f>IF(B17&gt;0,IF($B$2-70&lt;C17,"NA",$B$2-70),"")</f>
        <v/>
      </c>
      <c r="F17" s="44" t="str">
        <f>IF(B17&gt;0,IF($B$2-56&lt;D17,"One Planting",$B$2-56),"")</f>
        <v/>
      </c>
      <c r="G17" s="62" t="str">
        <f>IF(B17&gt;0,'Garden Data Entry'!H17,"")</f>
        <v/>
      </c>
      <c r="H17" s="49" t="str">
        <f>IF(B17&gt;0,IF(OR(Ref!D14="Not Recommended",Ref!D14="NA"),Ref!D14,D17-Ref!D14),"")</f>
        <v/>
      </c>
      <c r="I17" s="21" t="str">
        <f>IF(B17&gt;0,IF(OR(Ref!D14="Not Recommended",Ref!D14="NA"),Ref!D14,IF(ISTEXT(F17),F17,F17-Ref!D14)),"")</f>
        <v/>
      </c>
      <c r="J17" s="23" t="str">
        <f>IF(B17&gt;0,IF(Ref!F14="DS","NA",ROUNDUP(B17*Ref!E14,0)),"")</f>
        <v/>
      </c>
      <c r="K17" s="23" t="str">
        <f t="shared" si="0"/>
        <v>NA</v>
      </c>
    </row>
    <row r="18" spans="1:11" ht="29" customHeight="1">
      <c r="A18" s="12" t="str">
        <f>'Garden Data Entry'!A18</f>
        <v>Carrots</v>
      </c>
      <c r="B18" s="23">
        <f>IF('Garden Data Entry'!D18&gt;0,('Garden Data Entry'!D18/'Garden Data Entry'!E18)*1.2,0)</f>
        <v>0</v>
      </c>
      <c r="C18" s="26" t="str">
        <f>IF(B18&gt;0,$B$1-35,"")</f>
        <v/>
      </c>
      <c r="D18" s="26" t="str">
        <f>IF(B18&gt;0,"Not Recommended","")</f>
        <v/>
      </c>
      <c r="E18" s="26" t="str">
        <f>IF(B18&gt;0,IF($B$2-84&lt;C18,"NA",$B$2-84),"")</f>
        <v/>
      </c>
      <c r="F18" s="44" t="str">
        <f>IF(B18&gt;0,"Not Recommended","")</f>
        <v/>
      </c>
      <c r="G18" s="62" t="str">
        <f>IF(B18&gt;0,'Garden Data Entry'!H18,"")</f>
        <v/>
      </c>
      <c r="H18" s="49" t="str">
        <f>IF(B18&gt;0,IF(OR(Ref!D15="Not Recommended",Ref!D15="NA"),Ref!D15,D18-Ref!D15),"")</f>
        <v/>
      </c>
      <c r="I18" s="21" t="str">
        <f>IF(B18&gt;0,IF(OR(Ref!D15="Not Recommended",Ref!D15="NA"),Ref!D15,IF(ISTEXT(F18),F18,F18-Ref!D15)),"")</f>
        <v/>
      </c>
      <c r="J18" s="23" t="str">
        <f>IF(B18&gt;0,IF(Ref!F15="DS","NA",ROUNDUP(B18*Ref!E15,0)),"")</f>
        <v/>
      </c>
      <c r="K18" s="23" t="str">
        <f t="shared" si="0"/>
        <v>NA</v>
      </c>
    </row>
    <row r="19" spans="1:11" ht="29" customHeight="1">
      <c r="A19" s="12" t="str">
        <f>'Garden Data Entry'!A19</f>
        <v>Cauliflower</v>
      </c>
      <c r="B19" s="23">
        <f>IF('Garden Data Entry'!D19&gt;0,('Garden Data Entry'!D19/'Garden Data Entry'!E19)*1.2,0)</f>
        <v>0</v>
      </c>
      <c r="C19" s="26" t="str">
        <f>IF(B19&gt;0,$B$1-14,"")</f>
        <v/>
      </c>
      <c r="D19" s="26" t="str">
        <f>IF(B19&gt;0,$B$1-14,"")</f>
        <v/>
      </c>
      <c r="E19" s="26" t="str">
        <f>IF(B19&gt;0,IF($B$2-98&lt;C19,"NA",$B$2-98),"")</f>
        <v/>
      </c>
      <c r="F19" s="44" t="str">
        <f>IF(B19&gt;0,IF($B$2-84&lt;D19,"One Planting",$B$2-84),"")</f>
        <v/>
      </c>
      <c r="G19" s="62" t="str">
        <f>IF(B19&gt;0,'Garden Data Entry'!H19,"")</f>
        <v/>
      </c>
      <c r="H19" s="49" t="str">
        <f>IF(B19&gt;0,IF(OR(Ref!D16="Not Recommended",Ref!D16="NA"),Ref!D16,D19-Ref!D16),"")</f>
        <v/>
      </c>
      <c r="I19" s="21" t="str">
        <f>IF(B19&gt;0,IF(OR(Ref!D16="Not Recommended",Ref!D16="NA"),Ref!D16,IF(ISTEXT(F19),F19,F19-Ref!D16)),"")</f>
        <v/>
      </c>
      <c r="J19" s="23" t="str">
        <f>IF(B19&gt;0,IF(Ref!F16="DS","NA",ROUNDUP(B19*Ref!E16,0)),"")</f>
        <v/>
      </c>
      <c r="K19" s="23" t="str">
        <f t="shared" si="0"/>
        <v>NA</v>
      </c>
    </row>
    <row r="20" spans="1:11" ht="29" customHeight="1">
      <c r="A20" s="12" t="str">
        <f>'Garden Data Entry'!A20</f>
        <v>Celeriac</v>
      </c>
      <c r="B20" s="23">
        <f>IF('Garden Data Entry'!D20&gt;0,('Garden Data Entry'!D20/'Garden Data Entry'!E20)*1.2,0)</f>
        <v>0</v>
      </c>
      <c r="C20" s="26" t="str">
        <f>IF(B20&gt;0,$B$1-14,"")</f>
        <v/>
      </c>
      <c r="D20" s="26" t="str">
        <f>IF(B20&gt;0,$B$1+14,"")</f>
        <v/>
      </c>
      <c r="E20" s="26" t="str">
        <f>IF(B20&gt;0,IF($B$2-98&lt;C20,"NA",$B$2-98),"")</f>
        <v/>
      </c>
      <c r="F20" s="44" t="str">
        <f>IF(B20&gt;0,IF($B$2-112&lt;D20,"One Planting",$B$2-112),"")</f>
        <v/>
      </c>
      <c r="G20" s="62" t="str">
        <f>IF(B20&gt;0,'Garden Data Entry'!H20,"")</f>
        <v/>
      </c>
      <c r="H20" s="49" t="str">
        <f>IF(B20&gt;0,IF(OR(Ref!D17="Not Recommended",Ref!D17="NA"),Ref!D17,D20-Ref!D17),"")</f>
        <v/>
      </c>
      <c r="I20" s="21" t="str">
        <f>IF(B20&gt;0,IF(OR(Ref!D17="Not Recommended",Ref!D17="NA"),Ref!D17,IF(ISTEXT(F20),F20,F20-Ref!D17)),"")</f>
        <v/>
      </c>
      <c r="J20" s="23" t="str">
        <f>IF(B20&gt;0,IF(Ref!F17="DS","NA",ROUNDUP(B20*Ref!E17,0)),"")</f>
        <v/>
      </c>
      <c r="K20" s="23" t="str">
        <f t="shared" si="0"/>
        <v>NA</v>
      </c>
    </row>
    <row r="21" spans="1:11" ht="29" customHeight="1">
      <c r="A21" s="12" t="str">
        <f>'Garden Data Entry'!A21</f>
        <v>Celery</v>
      </c>
      <c r="B21" s="23">
        <f>IF('Garden Data Entry'!D21&gt;0,('Garden Data Entry'!D21/'Garden Data Entry'!E21)*1.2,0)</f>
        <v>0</v>
      </c>
      <c r="C21" s="26" t="str">
        <f t="shared" si="3"/>
        <v/>
      </c>
      <c r="D21" s="26" t="str">
        <f>IF(B21&gt;0,$B$1+14,"")</f>
        <v/>
      </c>
      <c r="E21" s="26" t="str">
        <f>IF(B21&gt;0,IF($B$2-98&lt;C21,"NA",$B$2-98),"")</f>
        <v/>
      </c>
      <c r="F21" s="44" t="str">
        <f>IF(B21&gt;0,IF($B$2-112&lt;D21,"One Planting",$B$2-112),"")</f>
        <v/>
      </c>
      <c r="G21" s="62" t="str">
        <f>IF(B21&gt;0,'Garden Data Entry'!H21,"")</f>
        <v/>
      </c>
      <c r="H21" s="49" t="str">
        <f>IF(B21&gt;0,IF(OR(Ref!D18="Not Recommended",Ref!D18="NA"),Ref!D18,D21-Ref!D18),"")</f>
        <v/>
      </c>
      <c r="I21" s="21" t="str">
        <f>IF(B21&gt;0,IF(OR(Ref!D18="Not Recommended",Ref!D18="NA"),Ref!D18,IF(ISTEXT(F21),F21,F21-Ref!D18)),"")</f>
        <v/>
      </c>
      <c r="J21" s="23" t="str">
        <f>IF(B21&gt;0,IF(Ref!F18="DS","NA",ROUNDUP(B21*Ref!E18,0)),"")</f>
        <v/>
      </c>
      <c r="K21" s="23" t="str">
        <f t="shared" si="0"/>
        <v>NA</v>
      </c>
    </row>
    <row r="22" spans="1:11" ht="29" customHeight="1">
      <c r="A22" s="12" t="str">
        <f>'Garden Data Entry'!A22</f>
        <v>Chard, Swiss</v>
      </c>
      <c r="B22" s="23">
        <f>IF('Garden Data Entry'!D22&gt;0,('Garden Data Entry'!D22/'Garden Data Entry'!E22)*1.2,0)</f>
        <v>0</v>
      </c>
      <c r="C22" s="26" t="str">
        <f>IF(B22&gt;0,$B$1,"")</f>
        <v/>
      </c>
      <c r="D22" s="26" t="str">
        <f>IF(B22&gt;0,$B$1-14,"")</f>
        <v/>
      </c>
      <c r="E22" s="26" t="str">
        <f>IF(B22&gt;0,IF($B$2-70&lt;C22,"NA",$B$2-70),"")</f>
        <v/>
      </c>
      <c r="F22" s="44" t="str">
        <f>IF(B22&gt;0,IF($B$2-56&lt;D22,"One Planting",$B$2-56),"")</f>
        <v/>
      </c>
      <c r="G22" s="62" t="str">
        <f>IF(B22&gt;0,'Garden Data Entry'!H22,"")</f>
        <v/>
      </c>
      <c r="H22" s="49" t="str">
        <f>IF(B22&gt;0,IF(OR(Ref!D19="Not Recommended",Ref!D19="NA"),Ref!D19,D22-Ref!D19),"")</f>
        <v/>
      </c>
      <c r="I22" s="21" t="str">
        <f>IF(B22&gt;0,IF(OR(Ref!D19="Not Recommended",Ref!D19="NA"),Ref!D19,IF(ISTEXT(F22),F22,F22-Ref!D19)),"")</f>
        <v/>
      </c>
      <c r="J22" s="23" t="str">
        <f>IF(B22&gt;0,IF(Ref!F19="DS","NA",ROUNDUP(B22*Ref!E19,0)),"")</f>
        <v/>
      </c>
      <c r="K22" s="23" t="str">
        <f t="shared" si="0"/>
        <v>NA</v>
      </c>
    </row>
    <row r="23" spans="1:11" ht="29" customHeight="1">
      <c r="A23" s="12" t="str">
        <f>'Garden Data Entry'!A23</f>
        <v>Cilantro</v>
      </c>
      <c r="B23" s="23">
        <f>IF('Garden Data Entry'!D23&gt;0,('Garden Data Entry'!D23/'Garden Data Entry'!E23)*1.2,0)</f>
        <v>0</v>
      </c>
      <c r="C23" s="26" t="str">
        <f>IF(B23&gt;0,$B$1,"")</f>
        <v/>
      </c>
      <c r="D23" s="26" t="str">
        <f>IF(B23&gt;0,"Not Recommended","")</f>
        <v/>
      </c>
      <c r="E23" s="26" t="str">
        <f>IF(B23&gt;0,$B$2-42,"")</f>
        <v/>
      </c>
      <c r="F23" s="44" t="str">
        <f>IF(B23&gt;0,"Not Recommended","")</f>
        <v/>
      </c>
      <c r="G23" s="62" t="str">
        <f>IF(B23&gt;0,'Garden Data Entry'!H23,"")</f>
        <v/>
      </c>
      <c r="H23" s="49" t="str">
        <f>IF(B23&gt;0,IF(OR(Ref!D20="Not Recommended",Ref!D20="NA"),Ref!D20,D23-Ref!D20),"")</f>
        <v/>
      </c>
      <c r="I23" s="21" t="str">
        <f>IF(B23&gt;0,IF(OR(Ref!D20="Not Recommended",Ref!D20="NA"),Ref!D20,IF(ISTEXT(F23),F23,F23-Ref!D20)),"")</f>
        <v/>
      </c>
      <c r="J23" s="23" t="str">
        <f>IF(B23&gt;0,IF(Ref!F20="DS","NA",ROUNDUP(B23*Ref!E20,0)),"")</f>
        <v/>
      </c>
      <c r="K23" s="23" t="str">
        <f t="shared" si="0"/>
        <v>NA</v>
      </c>
    </row>
    <row r="24" spans="1:11" ht="29" customHeight="1">
      <c r="A24" s="12" t="str">
        <f>'Garden Data Entry'!A24</f>
        <v>Corn, Sweet</v>
      </c>
      <c r="B24" s="23">
        <f>IF('Garden Data Entry'!D24&gt;0,('Garden Data Entry'!D24/'Garden Data Entry'!E24)*1.2,0)</f>
        <v>0</v>
      </c>
      <c r="C24" s="26" t="str">
        <f>IF(B24&gt;0,"When soil temp is above 65 F","")</f>
        <v/>
      </c>
      <c r="D24" s="26" t="str">
        <f>IF(B24&gt;0,$B$1+14,"")</f>
        <v/>
      </c>
      <c r="E24" s="26" t="str">
        <f>IF(B24&gt;0,"Varies greatly with climate","")</f>
        <v/>
      </c>
      <c r="F24" s="44" t="str">
        <f>IF(B24&gt;0,"Varies greatly with climate","")</f>
        <v/>
      </c>
      <c r="G24" s="62" t="str">
        <f>IF(B24&gt;0,'Garden Data Entry'!H24,"")</f>
        <v/>
      </c>
      <c r="H24" s="49" t="str">
        <f>IF(B24&gt;0,IF(OR(Ref!D21="Not Recommended",Ref!D21="NA"),Ref!D21,D24-Ref!D21),"")</f>
        <v/>
      </c>
      <c r="I24" s="21" t="str">
        <f>IF(B24&gt;0,IF(OR(Ref!D21="Not Recommended",Ref!D21="NA"),Ref!D21,IF(ISTEXT(F24),F24,F24-Ref!D21)),"")</f>
        <v/>
      </c>
      <c r="J24" s="23" t="str">
        <f>IF(B24&gt;0,IF(Ref!F21="DS","NA",ROUNDUP(B24*Ref!E21,0)),"")</f>
        <v/>
      </c>
      <c r="K24" s="23" t="str">
        <f t="shared" si="0"/>
        <v>NA</v>
      </c>
    </row>
    <row r="25" spans="1:11" ht="29" customHeight="1">
      <c r="A25" s="12" t="str">
        <f>'Garden Data Entry'!A25</f>
        <v>Collards</v>
      </c>
      <c r="B25" s="23">
        <f>IF('Garden Data Entry'!D25&gt;0,('Garden Data Entry'!D25/'Garden Data Entry'!E25)*1.2,0)</f>
        <v>0</v>
      </c>
      <c r="C25" s="26" t="str">
        <f>IF(B25&gt;0,$B$1-28,"")</f>
        <v/>
      </c>
      <c r="D25" s="26" t="str">
        <f>IF(B25&gt;0,$B$1-21,"")</f>
        <v/>
      </c>
      <c r="E25" s="26" t="str">
        <f>IF(B25&gt;0,IF($B$2-70&lt;C25,"NA",$B$2-70),"")</f>
        <v/>
      </c>
      <c r="F25" s="44" t="str">
        <f>IF(B25&gt;0,IF($B$2-56&lt;D25,"One Planting",$B$2-56),"")</f>
        <v/>
      </c>
      <c r="G25" s="62" t="str">
        <f>IF(B25&gt;0,'Garden Data Entry'!H25,"")</f>
        <v/>
      </c>
      <c r="H25" s="49" t="str">
        <f>IF(B25&gt;0,IF(OR(Ref!D22="Not Recommended",Ref!D22="NA"),Ref!D22,D25-Ref!D22),"")</f>
        <v/>
      </c>
      <c r="I25" s="21" t="str">
        <f>IF(B25&gt;0,IF(OR(Ref!D22="Not Recommended",Ref!D22="NA"),Ref!D22,IF(ISTEXT(F25),F25,F25-Ref!D22)),"")</f>
        <v/>
      </c>
      <c r="J25" s="23" t="str">
        <f>IF(B25&gt;0,IF(Ref!F22="DS","NA",ROUNDUP(B25*Ref!E22,0)),"")</f>
        <v/>
      </c>
      <c r="K25" s="23" t="str">
        <f t="shared" si="0"/>
        <v>NA</v>
      </c>
    </row>
    <row r="26" spans="1:11" ht="29" customHeight="1">
      <c r="A26" s="12" t="str">
        <f>'Garden Data Entry'!A26</f>
        <v>Cucumbers</v>
      </c>
      <c r="B26" s="23">
        <f>IF('Garden Data Entry'!D26&gt;0,('Garden Data Entry'!D26/'Garden Data Entry'!E26)*1.2,0)</f>
        <v>0</v>
      </c>
      <c r="C26" s="26" t="str">
        <f>IF(B26&gt;0,$B$1+21,"")</f>
        <v/>
      </c>
      <c r="D26" s="26" t="str">
        <f>IF(B26&gt;0,$B$1+28,"")</f>
        <v/>
      </c>
      <c r="E26" s="26" t="str">
        <f>IF(B26&gt;0,IF($B$2-98&lt;C26,"NA",$B$2-98),"")</f>
        <v/>
      </c>
      <c r="F26" s="44" t="str">
        <f>IF(B26&gt;0,IF($B$2-84&lt;D26,"One Planting",$B$2-84),"")</f>
        <v/>
      </c>
      <c r="G26" s="62" t="str">
        <f>IF(B26&gt;0,'Garden Data Entry'!H26,"")</f>
        <v/>
      </c>
      <c r="H26" s="49" t="str">
        <f>IF(B26&gt;0,IF(OR(Ref!D23="Not Recommended",Ref!D23="NA"),Ref!D23,D26-Ref!D23),"")</f>
        <v/>
      </c>
      <c r="I26" s="21" t="str">
        <f>IF(B26&gt;0,IF(OR(Ref!D23="Not Recommended",Ref!D23="NA"),Ref!D23,IF(ISTEXT(F26),F26,F26-Ref!D23)),"")</f>
        <v/>
      </c>
      <c r="J26" s="23" t="str">
        <f>IF(B26&gt;0,IF(Ref!F23="DS","NA",ROUNDUP(B26*Ref!E23,0)),"")</f>
        <v/>
      </c>
      <c r="K26" s="23" t="str">
        <f t="shared" si="0"/>
        <v>NA</v>
      </c>
    </row>
    <row r="27" spans="1:11" ht="29" customHeight="1">
      <c r="A27" s="12" t="str">
        <f>'Garden Data Entry'!A27</f>
        <v>Dill</v>
      </c>
      <c r="B27" s="23">
        <f>IF('Garden Data Entry'!D27&gt;0,('Garden Data Entry'!D27/'Garden Data Entry'!E27)*1.2,0)</f>
        <v>0</v>
      </c>
      <c r="C27" s="26" t="str">
        <f>IF(B27&gt;0,$B$1,"")</f>
        <v/>
      </c>
      <c r="D27" s="26" t="str">
        <f>IF(B27&gt;0,$B$1,"")</f>
        <v/>
      </c>
      <c r="E27" s="27" t="str">
        <f>IF(B27&gt;0,IF($B$2-49&lt;C27,"NA",$B$2-49),"")</f>
        <v/>
      </c>
      <c r="F27" s="45" t="str">
        <f>IF(B27&gt;0,IF($B$2-42&lt;D27,"One Planting",$B$2-42),"")</f>
        <v/>
      </c>
      <c r="G27" s="62" t="str">
        <f>IF(B27&gt;0,'Garden Data Entry'!H27,"")</f>
        <v/>
      </c>
      <c r="H27" s="49" t="str">
        <f>IF(B27&gt;0,IF(OR(Ref!D24="Not Recommended",Ref!D24="NA"),Ref!D24,D27-Ref!D24),"")</f>
        <v/>
      </c>
      <c r="I27" s="21" t="str">
        <f>IF(B27&gt;0,IF(OR(Ref!D24="Not Recommended",Ref!D24="NA"),Ref!D24,IF(ISTEXT(F27),F27,F27-Ref!D24)),"")</f>
        <v/>
      </c>
      <c r="J27" s="23" t="str">
        <f>IF(B27&gt;0,IF(Ref!F24="DS","NA",ROUNDUP(B27*Ref!E24,0)),"")</f>
        <v/>
      </c>
      <c r="K27" s="23" t="str">
        <f t="shared" si="0"/>
        <v>NA</v>
      </c>
    </row>
    <row r="28" spans="1:11" ht="29" customHeight="1">
      <c r="A28" s="12" t="str">
        <f>'Garden Data Entry'!A28</f>
        <v>Eggplant</v>
      </c>
      <c r="B28" s="23">
        <f>IF('Garden Data Entry'!D28&gt;0,('Garden Data Entry'!D28/'Garden Data Entry'!E28)*1.2,0)</f>
        <v>0</v>
      </c>
      <c r="C28" s="26" t="str">
        <f>IF(B28&gt;0,$B$1+28,"")</f>
        <v/>
      </c>
      <c r="D28" s="26" t="str">
        <f>IF(B28&gt;0,$B$1+28,"")</f>
        <v/>
      </c>
      <c r="E28" s="26" t="str">
        <f>IF(B28&gt;0,IF($B$2-133&lt;C28,"NA",$B$2-133),"")</f>
        <v/>
      </c>
      <c r="F28" s="44" t="str">
        <f>IF(B28&gt;0,IF($B$2-112&lt;D28,"One Planting",$B$2-112),"")</f>
        <v/>
      </c>
      <c r="G28" s="62" t="str">
        <f>IF(B28&gt;0,'Garden Data Entry'!H28,"")</f>
        <v/>
      </c>
      <c r="H28" s="49" t="str">
        <f>IF(B28&gt;0,IF(OR(Ref!D25="Not Recommended",Ref!D25="NA"),Ref!D25,D28-Ref!D25),"")</f>
        <v/>
      </c>
      <c r="I28" s="21" t="str">
        <f>IF(B28&gt;0,IF(OR(Ref!D25="Not Recommended",Ref!D25="NA"),Ref!D25,IF(ISTEXT(F28),F28,F28-Ref!D25)),"")</f>
        <v/>
      </c>
      <c r="J28" s="23" t="str">
        <f>IF(B28&gt;0,IF(Ref!F25="DS","NA",ROUNDUP(B28*Ref!E25,0)),"")</f>
        <v/>
      </c>
      <c r="K28" s="23" t="str">
        <f t="shared" si="0"/>
        <v>NA</v>
      </c>
    </row>
    <row r="29" spans="1:11" ht="29" customHeight="1">
      <c r="A29" s="12" t="str">
        <f>'Garden Data Entry'!A29</f>
        <v>Endive</v>
      </c>
      <c r="B29" s="23">
        <f>IF('Garden Data Entry'!D29&gt;0,('Garden Data Entry'!D29/'Garden Data Entry'!E29)*1.2,0)</f>
        <v>0</v>
      </c>
      <c r="C29" s="26" t="str">
        <f>IF(B29&gt;0,$B$1,"")</f>
        <v/>
      </c>
      <c r="D29" s="26" t="str">
        <f>IF(B29&gt;0,$B$1-21,"")</f>
        <v/>
      </c>
      <c r="E29" s="26" t="str">
        <f>IF(B29&gt;0,IF($B$2-56&lt;C29,"NA",$B$2-56),"")</f>
        <v/>
      </c>
      <c r="F29" s="44" t="str">
        <f>IF(B29&gt;0,IF($B$2-28&lt;D29,"One Planting",$B$2-28),"")</f>
        <v/>
      </c>
      <c r="G29" s="62" t="str">
        <f>IF(B29&gt;0,'Garden Data Entry'!H29,"")</f>
        <v/>
      </c>
      <c r="H29" s="49" t="str">
        <f>IF(B29&gt;0,IF(OR(Ref!D26="Not Recommended",Ref!D26="NA"),Ref!D26,D29-Ref!D26),"")</f>
        <v/>
      </c>
      <c r="I29" s="21" t="str">
        <f>IF(B29&gt;0,IF(OR(Ref!D26="Not Recommended",Ref!D26="NA"),Ref!D26,IF(ISTEXT(F29),F29,F29-Ref!D26)),"")</f>
        <v/>
      </c>
      <c r="J29" s="23" t="str">
        <f>IF(B29&gt;0,IF(Ref!F26="DS","NA",ROUNDUP(B29*Ref!E26,0)),"")</f>
        <v/>
      </c>
      <c r="K29" s="23" t="str">
        <f t="shared" si="0"/>
        <v>NA</v>
      </c>
    </row>
    <row r="30" spans="1:11" ht="29" customHeight="1">
      <c r="A30" s="12" t="str">
        <f>'Garden Data Entry'!A30</f>
        <v>Fennel, bulbing</v>
      </c>
      <c r="B30" s="23">
        <f>IF('Garden Data Entry'!D30&gt;0,('Garden Data Entry'!D30/'Garden Data Entry'!E30)*1.2,0)</f>
        <v>0</v>
      </c>
      <c r="C30" s="26" t="str">
        <f t="shared" ref="C30" si="4">IF(B30&gt;0,$B$1+21,"")</f>
        <v/>
      </c>
      <c r="D30" s="26" t="str">
        <f>IF(B30&gt;0,$B$1-14,"")</f>
        <v/>
      </c>
      <c r="E30" s="26" t="str">
        <f>IF(B30&gt;0,IF($B$2-112&lt;C30,"NA",$B$2-112),"")</f>
        <v/>
      </c>
      <c r="F30" s="44" t="str">
        <f>IF(B30&gt;0,IF($B$2-84&lt;D30,"One Planting",$B$2-84),"")</f>
        <v/>
      </c>
      <c r="G30" s="62" t="str">
        <f>IF(B30&gt;0,'Garden Data Entry'!H30,"")</f>
        <v/>
      </c>
      <c r="H30" s="49" t="str">
        <f>IF(B30&gt;0,IF(OR(Ref!D27="Not Recommended",Ref!D27="NA"),Ref!D27,D30-Ref!D27),"")</f>
        <v/>
      </c>
      <c r="I30" s="21" t="str">
        <f>IF(B30&gt;0,IF(OR(Ref!D27="Not Recommended",Ref!D27="NA"),Ref!D27,IF(ISTEXT(F30),F30,F30-Ref!D27)),"")</f>
        <v/>
      </c>
      <c r="J30" s="23" t="str">
        <f>IF(B30&gt;0,IF(Ref!F27="DS","NA",ROUNDUP(B30*Ref!E27,0)),"")</f>
        <v/>
      </c>
      <c r="K30" s="23" t="str">
        <f t="shared" si="0"/>
        <v>NA</v>
      </c>
    </row>
    <row r="31" spans="1:11" ht="29" customHeight="1">
      <c r="A31" s="12" t="str">
        <f>'Garden Data Entry'!A31</f>
        <v>Garlic</v>
      </c>
      <c r="B31" s="23">
        <f>IF('Garden Data Entry'!D31&gt;0,('Garden Data Entry'!D31/'Garden Data Entry'!E31)*1.2,0)</f>
        <v>0</v>
      </c>
      <c r="C31" s="26" t="str">
        <f>IF(B31&gt;0,"1 Planting in Fall","")</f>
        <v/>
      </c>
      <c r="D31" s="26" t="str">
        <f>IF(B31&gt;0,"NA","")</f>
        <v/>
      </c>
      <c r="E31" s="26" t="str">
        <f>IF(B31&gt;0,"One planting in fall","")</f>
        <v/>
      </c>
      <c r="F31" s="44" t="str">
        <f>IF(B31&gt;0,"NA","")</f>
        <v/>
      </c>
      <c r="G31" s="62" t="str">
        <f>IF(B31&gt;0,'Garden Data Entry'!H31,"")</f>
        <v/>
      </c>
      <c r="H31" s="49" t="str">
        <f>IF(B31&gt;0,IF(OR(Ref!D28="Not Recommended",Ref!D28="NA"),Ref!D28,D31-Ref!D28),"")</f>
        <v/>
      </c>
      <c r="I31" s="21" t="str">
        <f>IF(B31&gt;0,IF(OR(Ref!D28="Not Recommended",Ref!D28="NA"),Ref!D28,IF(ISTEXT(F31),F31,F31-Ref!D28)),"")</f>
        <v/>
      </c>
      <c r="J31" s="23" t="str">
        <f>IF(B31&gt;0,IF(Ref!F28="DS","NA",ROUNDUP(B31*Ref!E28,0)),"")</f>
        <v/>
      </c>
      <c r="K31" s="23" t="str">
        <f t="shared" si="0"/>
        <v>NA</v>
      </c>
    </row>
    <row r="32" spans="1:11" ht="29" customHeight="1">
      <c r="A32" s="12" t="str">
        <f>'Garden Data Entry'!A32</f>
        <v>Kale</v>
      </c>
      <c r="B32" s="23">
        <f>IF('Garden Data Entry'!D32&gt;0,('Garden Data Entry'!D32/'Garden Data Entry'!E32)*1.2,0)</f>
        <v>0</v>
      </c>
      <c r="C32" s="26" t="str">
        <f>IF(B32&gt;0,$B$1-14,"")</f>
        <v/>
      </c>
      <c r="D32" s="26" t="str">
        <f>IF(B32&gt;0,$B$1-28,"")</f>
        <v/>
      </c>
      <c r="E32" s="26" t="str">
        <f>IF(B32&gt;0,IF($B$2-77&lt;C32,"NA",$B$2-77),"")</f>
        <v/>
      </c>
      <c r="F32" s="44" t="str">
        <f>IF(B32&gt;0,IF($B$2-56&lt;D32,"One Planting",$B$2-56),"")</f>
        <v/>
      </c>
      <c r="G32" s="62" t="str">
        <f>IF(B32&gt;0,'Garden Data Entry'!H32,"")</f>
        <v/>
      </c>
      <c r="H32" s="49" t="str">
        <f>IF(B32&gt;0,IF(OR(Ref!D29="Not Recommended",Ref!D29="NA"),Ref!D29,D32-Ref!D29),"")</f>
        <v/>
      </c>
      <c r="I32" s="21" t="str">
        <f>IF(B32&gt;0,IF(OR(Ref!D29="Not Recommended",Ref!D29="NA"),Ref!D29,IF(ISTEXT(F32),F32,F32-Ref!D29)),"")</f>
        <v/>
      </c>
      <c r="J32" s="23" t="str">
        <f>IF(B32&gt;0,IF(Ref!F29="DS","NA",ROUNDUP(B32*Ref!E29,0)),"")</f>
        <v/>
      </c>
      <c r="K32" s="23" t="str">
        <f t="shared" si="0"/>
        <v>NA</v>
      </c>
    </row>
    <row r="33" spans="1:11" ht="29" customHeight="1">
      <c r="A33" s="12" t="str">
        <f>'Garden Data Entry'!A33</f>
        <v>Kohlrabi</v>
      </c>
      <c r="B33" s="23">
        <f>IF('Garden Data Entry'!D33&gt;0,('Garden Data Entry'!D33/'Garden Data Entry'!E33)*1.2,0)</f>
        <v>0</v>
      </c>
      <c r="C33" s="26" t="str">
        <f>IF(B33&gt;0,$B$1-14,"")</f>
        <v/>
      </c>
      <c r="D33" s="26" t="str">
        <f>IF(B33&gt;0,$B$1-14,"")</f>
        <v/>
      </c>
      <c r="E33" s="26" t="str">
        <f>IF(B33&gt;0,IF($B$2-77&lt;C33,"NA",$B$2-77),"")</f>
        <v/>
      </c>
      <c r="F33" s="44" t="str">
        <f>IF(B33&gt;0,IF($B$2-56&lt;D33,"One Planting",$B$2-56),"")</f>
        <v/>
      </c>
      <c r="G33" s="62" t="str">
        <f>IF(B33&gt;0,'Garden Data Entry'!H33,"")</f>
        <v/>
      </c>
      <c r="H33" s="49" t="str">
        <f>IF(B33&gt;0,IF(OR(Ref!D30="Not Recommended",Ref!D30="NA"),Ref!D30,D33-Ref!D30),"")</f>
        <v/>
      </c>
      <c r="I33" s="21" t="str">
        <f>IF(B33&gt;0,IF(OR(Ref!D30="Not Recommended",Ref!D30="NA"),Ref!D30,IF(ISTEXT(F33),F33,F33-Ref!D30)),"")</f>
        <v/>
      </c>
      <c r="J33" s="23" t="str">
        <f>IF(B33&gt;0,IF(Ref!F30="DS","NA",ROUNDUP(B33*Ref!E30,0)),"")</f>
        <v/>
      </c>
      <c r="K33" s="23" t="str">
        <f t="shared" si="0"/>
        <v>NA</v>
      </c>
    </row>
    <row r="34" spans="1:11" ht="29" customHeight="1">
      <c r="A34" s="12" t="str">
        <f>'Garden Data Entry'!A34</f>
        <v>Leeks</v>
      </c>
      <c r="B34" s="23">
        <f>IF('Garden Data Entry'!D34&gt;0,('Garden Data Entry'!D34/'Garden Data Entry'!E34)*1.2,0)</f>
        <v>0</v>
      </c>
      <c r="C34" s="26" t="str">
        <f>IF(B34&gt;0,$B$1-14,"")</f>
        <v/>
      </c>
      <c r="D34" s="26" t="str">
        <f>IF(B34&gt;0,$B$1,"")</f>
        <v/>
      </c>
      <c r="E34" s="26" t="str">
        <f>IF(B34&gt;0,IF($B$2-154&lt;C34,"NA",$B$2-154),"")</f>
        <v/>
      </c>
      <c r="F34" s="44" t="str">
        <f>IF(B34&gt;0,IF($B$2-98&lt;D34,"One Planting",$B$2-98),"")</f>
        <v/>
      </c>
      <c r="G34" s="62" t="str">
        <f>IF(B34&gt;0,'Garden Data Entry'!H34,"")</f>
        <v/>
      </c>
      <c r="H34" s="49" t="str">
        <f>IF(B34&gt;0,IF(OR(Ref!D31="Not Recommended",Ref!D31="NA"),Ref!D31,D34-Ref!D31),"")</f>
        <v/>
      </c>
      <c r="I34" s="21" t="str">
        <f>IF(B34&gt;0,IF(OR(Ref!D31="Not Recommended",Ref!D31="NA"),Ref!D31,IF(ISTEXT(F34),F34,F34-Ref!D31)),"")</f>
        <v/>
      </c>
      <c r="J34" s="23" t="str">
        <f>IF(B34&gt;0,IF(Ref!F31="DS","NA",ROUNDUP(B34*Ref!E31,0)),"")</f>
        <v/>
      </c>
      <c r="K34" s="23" t="str">
        <f t="shared" si="0"/>
        <v>NA</v>
      </c>
    </row>
    <row r="35" spans="1:11" ht="29" customHeight="1">
      <c r="A35" s="12" t="str">
        <f>'Garden Data Entry'!A35</f>
        <v>Lettuce, Heads</v>
      </c>
      <c r="B35" s="23">
        <f>IF('Garden Data Entry'!D35&gt;0,('Garden Data Entry'!D35/'Garden Data Entry'!E35)*1.2,0)</f>
        <v>0</v>
      </c>
      <c r="C35" s="26" t="str">
        <f>IF(B35&gt;0,$B$1-21,"")</f>
        <v/>
      </c>
      <c r="D35" s="26" t="str">
        <f>IF(B35&gt;0,$B$1-28,"")</f>
        <v/>
      </c>
      <c r="E35" s="26" t="str">
        <f>IF(B35&gt;0,IF($B$2-42&lt;C35,"NA",$B$2-42),"")</f>
        <v/>
      </c>
      <c r="F35" s="44">
        <v>42616</v>
      </c>
      <c r="G35" s="62" t="str">
        <f>IF(B35&gt;0,'Garden Data Entry'!H35,"")</f>
        <v/>
      </c>
      <c r="H35" s="49" t="str">
        <f>IF(B35&gt;0,IF(OR(Ref!D32="Not Recommended",Ref!D32="NA"),Ref!D32,D35-Ref!D32),"")</f>
        <v/>
      </c>
      <c r="I35" s="21" t="str">
        <f>IF(B35&gt;0,IF(OR(Ref!D32="Not Recommended",Ref!D32="NA"),Ref!D32,IF(ISTEXT(F35),F35,F35-Ref!D32)),"")</f>
        <v/>
      </c>
      <c r="J35" s="23" t="str">
        <f>IF(B35&gt;0,IF(Ref!F32="DS","NA",ROUNDUP(B35*Ref!E32,0)),"")</f>
        <v/>
      </c>
      <c r="K35" s="23" t="str">
        <f t="shared" si="0"/>
        <v>NA</v>
      </c>
    </row>
    <row r="36" spans="1:11" ht="29" customHeight="1">
      <c r="A36" s="12" t="str">
        <f>'Garden Data Entry'!A36</f>
        <v>Lettuce, Baby Mix</v>
      </c>
      <c r="B36" s="23">
        <f>IF('Garden Data Entry'!D36&gt;0,('Garden Data Entry'!D36/'Garden Data Entry'!E36)*1.2,0)</f>
        <v>0</v>
      </c>
      <c r="C36" s="26" t="str">
        <f>IF(B36&gt;0,$B$1-21,"")</f>
        <v/>
      </c>
      <c r="D36" s="26" t="str">
        <f>IF(B36&gt;0,"Not Recommended","")</f>
        <v/>
      </c>
      <c r="E36" s="26" t="str">
        <f>IF(B36&gt;0,IF($B$2-42&lt;C36,"NA",$B$2-42),"")</f>
        <v/>
      </c>
      <c r="F36" s="44" t="str">
        <f>IF(B36&gt;0,"Not Recommended","")</f>
        <v/>
      </c>
      <c r="G36" s="62" t="str">
        <f>IF(B36&gt;0,'Garden Data Entry'!H36,"")</f>
        <v/>
      </c>
      <c r="H36" s="49" t="str">
        <f>IF(B36&gt;0,IF(OR(Ref!D33="Not Recommended",Ref!D33="NA"),Ref!D33,D36-Ref!D33),"")</f>
        <v/>
      </c>
      <c r="I36" s="21" t="str">
        <f>IF(B36&gt;0,IF(OR(Ref!D33="Not Recommended",Ref!D33="NA"),Ref!D33,IF(ISTEXT(F36),F36,F36-Ref!D33)),"")</f>
        <v/>
      </c>
      <c r="J36" s="23" t="str">
        <f>IF(B36&gt;0,IF(Ref!F33="DS","NA",ROUNDUP(B36*Ref!E33,0)),"")</f>
        <v/>
      </c>
      <c r="K36" s="23" t="str">
        <f t="shared" si="0"/>
        <v>NA</v>
      </c>
    </row>
    <row r="37" spans="1:11" ht="33" customHeight="1">
      <c r="A37" s="12" t="str">
        <f>'Garden Data Entry'!A37</f>
        <v>Mache</v>
      </c>
      <c r="B37" s="23">
        <f>IF('Garden Data Entry'!D37&gt;0,('Garden Data Entry'!D37/'Garden Data Entry'!E37)*1.2,0)</f>
        <v>0</v>
      </c>
      <c r="C37" s="26" t="str">
        <f>IF(B37&gt;0,"As early as soil can be worked","")</f>
        <v/>
      </c>
      <c r="D37" s="26" t="str">
        <f>IF(B37&gt;0,"As early as soil can be worked","")</f>
        <v/>
      </c>
      <c r="E37" s="26" t="str">
        <f>IF(B37&gt;0,$B$2-14,"")</f>
        <v/>
      </c>
      <c r="F37" s="44" t="str">
        <f>IF(B37&gt;0,$B$2-14,"")</f>
        <v/>
      </c>
      <c r="G37" s="62" t="str">
        <f>IF(B37&gt;0,'Garden Data Entry'!H37,"")</f>
        <v/>
      </c>
      <c r="H37" s="49" t="str">
        <f>IF(B37&gt;0,"35 days prior to estimated first transplanting date","")</f>
        <v/>
      </c>
      <c r="I37" s="21" t="str">
        <f>IF(B37&gt;0,IF(OR(Ref!D34="Not Recommended",Ref!D34="NA"),Ref!D34,IF(ISTEXT(F37),F37,F37-Ref!D34)),"")</f>
        <v/>
      </c>
      <c r="J37" s="23" t="str">
        <f>IF(B37&gt;0,IF(Ref!F34="DS","NA",ROUNDUP(B37*Ref!E34,0)),"")</f>
        <v/>
      </c>
      <c r="K37" s="23" t="str">
        <f t="shared" si="0"/>
        <v>NA</v>
      </c>
    </row>
    <row r="38" spans="1:11" ht="38" customHeight="1">
      <c r="A38" s="12" t="str">
        <f>'Garden Data Entry'!A38</f>
        <v>Melon, Cantaloupe, Honeydew</v>
      </c>
      <c r="B38" s="23">
        <f>IF('Garden Data Entry'!D38&gt;0,('Garden Data Entry'!D38/'Garden Data Entry'!E38)*1.2,0)</f>
        <v>0</v>
      </c>
      <c r="C38" s="26" t="str">
        <f>IF(B38&gt;0,"When soil temp reaches 70 F","")</f>
        <v/>
      </c>
      <c r="D38" s="26" t="str">
        <f>IF(B38&gt;0,$B$1+28,"")</f>
        <v/>
      </c>
      <c r="E38" s="26" t="str">
        <f>IF(B38&gt;0,"Variable","")</f>
        <v/>
      </c>
      <c r="F38" s="44" t="str">
        <f>IF(B38&gt;0,IF($B$2-112&lt;D38,"One Planting",$B$2-112),"")</f>
        <v/>
      </c>
      <c r="G38" s="62" t="str">
        <f>IF(B38&gt;0,'Garden Data Entry'!H38,"")</f>
        <v/>
      </c>
      <c r="H38" s="49" t="str">
        <f>IF(B38&gt;0,IF(OR(Ref!D35="Not Recommended",Ref!D35="NA"),Ref!D35,D38-Ref!D35),"")</f>
        <v/>
      </c>
      <c r="I38" s="21" t="str">
        <f>IF(B38&gt;0,IF(OR(Ref!D35="Not Recommended",Ref!D35="NA"),Ref!D35,IF(ISTEXT(F38),F38,F38-Ref!D35)),"")</f>
        <v/>
      </c>
      <c r="J38" s="23" t="str">
        <f>IF(B38&gt;0,IF(Ref!F35="DS","NA",ROUNDUP(B38*Ref!E35,0)),"")</f>
        <v/>
      </c>
      <c r="K38" s="23" t="str">
        <f t="shared" si="0"/>
        <v>NA</v>
      </c>
    </row>
    <row r="39" spans="1:11" ht="29" customHeight="1">
      <c r="A39" s="12" t="str">
        <f>'Garden Data Entry'!A39</f>
        <v>Mustard Greens (full size for braising)</v>
      </c>
      <c r="B39" s="23">
        <f>IF('Garden Data Entry'!D39&gt;0,('Garden Data Entry'!D39/'Garden Data Entry'!E39)*1.2,0)</f>
        <v>0</v>
      </c>
      <c r="C39" s="26" t="str">
        <f>IF(B39&gt;0,$B$1-28,"")</f>
        <v/>
      </c>
      <c r="D39" s="26" t="str">
        <f>IF(B39&gt;0,$B$1-28,"")</f>
        <v/>
      </c>
      <c r="E39" s="26" t="str">
        <f>IF(B39&gt;0,$B$2-21,"")</f>
        <v/>
      </c>
      <c r="F39" s="44" t="str">
        <f>IF(B39&gt;0,IF($B$2-28&lt;D39,"One Planting",$B$2-28),"")</f>
        <v/>
      </c>
      <c r="G39" s="62" t="str">
        <f>IF(B39&gt;0,'Garden Data Entry'!H39,"")</f>
        <v/>
      </c>
      <c r="H39" s="49" t="str">
        <f>IF(B39&gt;0,IF(OR(Ref!D36="Not Recommended",Ref!D36="NA"),Ref!D36,D39-Ref!D36),"")</f>
        <v/>
      </c>
      <c r="I39" s="21" t="str">
        <f>IF(B39&gt;0,IF(OR(Ref!D36="Not Recommended",Ref!D36="NA"),Ref!D36,IF(ISTEXT(F39),F39,F39-Ref!D36)),"")</f>
        <v/>
      </c>
      <c r="J39" s="23" t="str">
        <f>IF(B39&gt;0,IF(Ref!F36="DS","NA",ROUNDUP(B39*Ref!E36,0)),"")</f>
        <v/>
      </c>
      <c r="K39" s="23" t="str">
        <f t="shared" si="0"/>
        <v>NA</v>
      </c>
    </row>
    <row r="40" spans="1:11" ht="32" customHeight="1">
      <c r="A40" s="12" t="str">
        <f>'Garden Data Entry'!A40</f>
        <v>Okra</v>
      </c>
      <c r="B40" s="23">
        <f>IF('Garden Data Entry'!D40&gt;0,('Garden Data Entry'!D40/'Garden Data Entry'!E40)*1.2,0)</f>
        <v>0</v>
      </c>
      <c r="C40" s="26" t="str">
        <f>IF(B40&gt;0,"When soil temp reaches 65 F","")</f>
        <v/>
      </c>
      <c r="D40" s="26" t="str">
        <f>IF(B40&gt;0,$B$1+28,"")</f>
        <v/>
      </c>
      <c r="E40" s="26" t="str">
        <f>IF(B40&gt;0,"Variable","")</f>
        <v/>
      </c>
      <c r="F40" s="44" t="str">
        <f>IF(B40&gt;0,IF($B$2-112&lt;D40,"One Planting",$B$2-112),"")</f>
        <v/>
      </c>
      <c r="G40" s="62" t="str">
        <f>IF(B40&gt;0,'Garden Data Entry'!H40,"")</f>
        <v/>
      </c>
      <c r="H40" s="49" t="str">
        <f>IF(B40&gt;0,IF(OR(Ref!D37="Not Recommended",Ref!D37="NA"),Ref!D37,D40-Ref!D37),"")</f>
        <v/>
      </c>
      <c r="I40" s="21" t="str">
        <f>IF(B40&gt;0,IF(OR(Ref!D37="Not Recommended",Ref!D37="NA"),Ref!D37,IF(ISTEXT(F40),F40,F40-Ref!D37)),"")</f>
        <v/>
      </c>
      <c r="J40" s="23" t="str">
        <f>IF(B40&gt;0,IF(Ref!F37="DS","NA",ROUNDUP(B40*Ref!E37,0)),"")</f>
        <v/>
      </c>
      <c r="K40" s="23" t="str">
        <f t="shared" si="0"/>
        <v>NA</v>
      </c>
    </row>
    <row r="41" spans="1:11" ht="34" customHeight="1">
      <c r="A41" s="12" t="str">
        <f>'Garden Data Entry'!A41</f>
        <v>Onions, Bulb</v>
      </c>
      <c r="B41" s="23">
        <f>IF('Garden Data Entry'!D41&gt;0,('Garden Data Entry'!D41/'Garden Data Entry'!E41)*1.2,0)</f>
        <v>0</v>
      </c>
      <c r="C41" s="26" t="str">
        <f>IF(B41&gt;0,$B$1-42,"")</f>
        <v/>
      </c>
      <c r="D41" s="26" t="str">
        <f>IF(B41&gt;0,$B$1-14,"")</f>
        <v/>
      </c>
      <c r="E41" s="26" t="str">
        <f>IF(B41&gt;0,"Variable depending on type","")</f>
        <v/>
      </c>
      <c r="F41" s="44" t="str">
        <f>IF(C41&gt;0,"Variable depending on type","")</f>
        <v>Variable depending on type</v>
      </c>
      <c r="G41" s="62" t="str">
        <f>IF(B41&gt;0,'Garden Data Entry'!H41,"")</f>
        <v/>
      </c>
      <c r="H41" s="49" t="str">
        <f>IF(B41&gt;0,IF(OR(Ref!D38="Not Recommended",Ref!D38="NA"),Ref!D38,D41-Ref!D38),"")</f>
        <v/>
      </c>
      <c r="I41" s="21" t="str">
        <f>IF(B41&gt;0,IF(OR(Ref!D38="Not Recommended",Ref!D38="NA"),Ref!D38,IF(ISTEXT(F41),F41,F41-Ref!D38)),"")</f>
        <v/>
      </c>
      <c r="J41" s="23" t="str">
        <f>IF(B41&gt;0,IF(Ref!F38="DS","NA",ROUNDUP(B41*Ref!E38,0)),"")</f>
        <v/>
      </c>
      <c r="K41" s="23" t="str">
        <f t="shared" si="0"/>
        <v>NA</v>
      </c>
    </row>
    <row r="42" spans="1:11" ht="29" customHeight="1">
      <c r="A42" s="12" t="str">
        <f>'Garden Data Entry'!A42</f>
        <v>Parsley</v>
      </c>
      <c r="B42" s="23">
        <f>IF('Garden Data Entry'!D42&gt;0,('Garden Data Entry'!D42/'Garden Data Entry'!E42)*1.2,0)</f>
        <v>0</v>
      </c>
      <c r="C42" s="26" t="str">
        <f>IF(B42&gt;0,$B$1-14,"")</f>
        <v/>
      </c>
      <c r="D42" s="26" t="str">
        <f>IF(B42&gt;0,$B$1-14,"")</f>
        <v/>
      </c>
      <c r="E42" s="26" t="str">
        <f>IF(B42&gt;0,IF($B$2-84&lt;C42,"NA",$B$2-84),"")</f>
        <v/>
      </c>
      <c r="F42" s="44" t="str">
        <f>IF(B42&gt;0,IF($B$2-56&lt;D42,"One Planting",$B$2-56),"")</f>
        <v/>
      </c>
      <c r="G42" s="62" t="str">
        <f>IF(B42&gt;0,'Garden Data Entry'!H42,"")</f>
        <v/>
      </c>
      <c r="H42" s="49" t="str">
        <f>IF(B42&gt;0,IF(OR(Ref!D39="Not Recommended",Ref!D39="NA"),Ref!D39,D42-Ref!D39),"")</f>
        <v/>
      </c>
      <c r="I42" s="21" t="str">
        <f>IF(B42&gt;0,IF(OR(Ref!D39="Not Recommended",Ref!D39="NA"),Ref!D39,IF(ISTEXT(F42),F42,F42-Ref!D39)),"")</f>
        <v/>
      </c>
      <c r="J42" s="23" t="str">
        <f>IF(B42&gt;0,IF(Ref!F39="DS","NA",ROUNDUP(B42*Ref!E39,0)),"")</f>
        <v/>
      </c>
      <c r="K42" s="23" t="str">
        <f t="shared" si="0"/>
        <v>NA</v>
      </c>
    </row>
    <row r="43" spans="1:11" ht="32" customHeight="1">
      <c r="A43" s="12" t="str">
        <f>'Garden Data Entry'!A43</f>
        <v>Parsnips</v>
      </c>
      <c r="B43" s="23">
        <f>IF('Garden Data Entry'!D43&gt;0,('Garden Data Entry'!D43/'Garden Data Entry'!E43)*1.2,0)</f>
        <v>0</v>
      </c>
      <c r="C43" s="26" t="str">
        <f>IF(B43&gt;0,"As early as soil can be worked","")</f>
        <v/>
      </c>
      <c r="D43" s="26" t="str">
        <f>IF(B43&gt;0,"Not recommended","")</f>
        <v/>
      </c>
      <c r="E43" s="26" t="str">
        <f>IF(B43&gt;0,"One planting as early as possible","")</f>
        <v/>
      </c>
      <c r="F43" s="44" t="str">
        <f>IF(B43&gt;0,"Not Recommended","")</f>
        <v/>
      </c>
      <c r="G43" s="62" t="str">
        <f>IF(B43&gt;0,'Garden Data Entry'!H43,"")</f>
        <v/>
      </c>
      <c r="H43" s="49" t="str">
        <f>IF(B43&gt;0,IF(OR(Ref!D40="Not Recommended",Ref!D40="NA"),Ref!D40,D43-Ref!D40),"")</f>
        <v/>
      </c>
      <c r="I43" s="21" t="str">
        <f>IF(B43&gt;0,IF(OR(Ref!D40="Not Recommended",Ref!D40="NA"),Ref!D40,IF(ISTEXT(F43),F43,F43-Ref!D40)),"")</f>
        <v/>
      </c>
      <c r="J43" s="23" t="str">
        <f>IF(B43&gt;0,IF(Ref!F40="DS","NA",ROUNDUP(B43*Ref!E40,0)),"")</f>
        <v/>
      </c>
      <c r="K43" s="23" t="str">
        <f t="shared" si="0"/>
        <v>NA</v>
      </c>
    </row>
    <row r="44" spans="1:11" ht="29" customHeight="1">
      <c r="A44" s="12" t="str">
        <f>'Garden Data Entry'!A44</f>
        <v>Pac Choi</v>
      </c>
      <c r="B44" s="23">
        <f>IF('Garden Data Entry'!D44&gt;0,('Garden Data Entry'!D44/'Garden Data Entry'!E44)*1.2,0)</f>
        <v>0</v>
      </c>
      <c r="C44" s="26" t="str">
        <f>IF(B44&gt;0,$B$1,"")</f>
        <v/>
      </c>
      <c r="D44" s="26" t="str">
        <f>IF(B44&gt;0,$B$1,"")</f>
        <v/>
      </c>
      <c r="E44" s="26" t="str">
        <f>IF(B44&gt;0,IF($B$2-56&lt;C44,"NA",$B$2-56),"")</f>
        <v/>
      </c>
      <c r="F44" s="44" t="str">
        <f>IF(B44&gt;0,IF($B$2-35&lt;D44,"One Planting",$B$2-35),"")</f>
        <v/>
      </c>
      <c r="G44" s="62" t="str">
        <f>IF(B44&gt;0,'Garden Data Entry'!H44,"")</f>
        <v/>
      </c>
      <c r="H44" s="49" t="str">
        <f>IF(B44&gt;0,IF(OR(Ref!D41="Not Recommended",Ref!D41="NA"),Ref!D41,D44-Ref!D41),"")</f>
        <v/>
      </c>
      <c r="I44" s="21" t="str">
        <f>IF(B44&gt;0,IF(OR(Ref!D41="Not Recommended",Ref!D41="NA"),Ref!D41,IF(ISTEXT(F44),F44,F44-Ref!D41)),"")</f>
        <v/>
      </c>
      <c r="J44" s="23" t="str">
        <f>IF(B44&gt;0,IF(Ref!F41="DS","NA",ROUNDUP(B44*Ref!E41,0)),"")</f>
        <v/>
      </c>
      <c r="K44" s="23" t="str">
        <f t="shared" si="0"/>
        <v>NA</v>
      </c>
    </row>
    <row r="45" spans="1:11" ht="33" customHeight="1">
      <c r="A45" s="12" t="str">
        <f>'Garden Data Entry'!A45</f>
        <v>Peanut</v>
      </c>
      <c r="B45" s="23">
        <f>IF('Garden Data Entry'!D45&gt;0,('Garden Data Entry'!D45/'Garden Data Entry'!E45)*1.2,0)</f>
        <v>0</v>
      </c>
      <c r="C45" s="26" t="str">
        <f>IF(B45&gt;0,"When soil temp reaches 65 F","")</f>
        <v/>
      </c>
      <c r="D45" s="26" t="str">
        <f>IF(B45&gt;0,"When soil temp reaches 65 F","")</f>
        <v/>
      </c>
      <c r="E45" s="26" t="str">
        <f>IF(B45&gt;0,IF($B$2-140&lt;C45,"NA",$B$2-140),"")</f>
        <v/>
      </c>
      <c r="F45" s="44" t="str">
        <f>IF(B45&gt;0,"Generally 1 planting","")</f>
        <v/>
      </c>
      <c r="G45" s="62" t="str">
        <f>IF(B45&gt;0,'Garden Data Entry'!H45,"")</f>
        <v/>
      </c>
      <c r="H45" s="49" t="str">
        <f>IF(B45&gt;0,"35 days prior to estimated first transplanting date","")</f>
        <v/>
      </c>
      <c r="I45" s="21" t="str">
        <f>IF(B45&gt;0,IF(OR(Ref!D42="Not Recommended",Ref!D42="NA"),Ref!D42,IF(ISTEXT(F45),F45,F45-Ref!D42)),"")</f>
        <v/>
      </c>
      <c r="J45" s="23" t="str">
        <f>IF(B45&gt;0,IF(Ref!F42="DS","NA",ROUNDUP(B45*Ref!E42,0)),"")</f>
        <v/>
      </c>
      <c r="K45" s="23" t="str">
        <f t="shared" si="0"/>
        <v>NA</v>
      </c>
    </row>
    <row r="46" spans="1:11" ht="33" customHeight="1">
      <c r="A46" s="12" t="str">
        <f>'Garden Data Entry'!A46</f>
        <v>Peas, Shelling</v>
      </c>
      <c r="B46" s="23">
        <f>IF('Garden Data Entry'!D46&gt;0,('Garden Data Entry'!D46/'Garden Data Entry'!E46)*1.2,0)</f>
        <v>0</v>
      </c>
      <c r="C46" s="26" t="str">
        <f>IF(B46&gt;0,"As early as soil can be worked","")</f>
        <v/>
      </c>
      <c r="D46" s="26" t="str">
        <f>IF(B46&gt;0,$B$1-28,"")</f>
        <v/>
      </c>
      <c r="E46" s="26" t="str">
        <f>IF(B46&gt;0,"Fall planting varies with climate","")</f>
        <v/>
      </c>
      <c r="F46" s="44" t="str">
        <f>IF(C46&gt;0,"Fall planting varies with climate","")</f>
        <v>Fall planting varies with climate</v>
      </c>
      <c r="G46" s="62" t="str">
        <f>IF(B46&gt;0,'Garden Data Entry'!H46,"")</f>
        <v/>
      </c>
      <c r="H46" s="49" t="str">
        <f>IF(B46&gt;0,IF(OR(Ref!D43="Not Recommended",Ref!D43="NA"),Ref!D43,D46-Ref!D43),"")</f>
        <v/>
      </c>
      <c r="I46" s="21" t="str">
        <f>IF(B46&gt;0,IF(OR(Ref!D43="Not Recommended",Ref!D43="NA"),Ref!D43,IF(ISTEXT(F46),F46,F46-Ref!D43)),"")</f>
        <v/>
      </c>
      <c r="J46" s="23" t="str">
        <f>IF(B46&gt;0,IF(Ref!F43="DS","NA",ROUNDUP(B46*Ref!E43,0)),"")</f>
        <v/>
      </c>
      <c r="K46" s="23" t="str">
        <f t="shared" si="0"/>
        <v>NA</v>
      </c>
    </row>
    <row r="47" spans="1:11" ht="33" customHeight="1">
      <c r="A47" s="12" t="str">
        <f>'Garden Data Entry'!A47</f>
        <v>Peas, Snap</v>
      </c>
      <c r="B47" s="23">
        <f>IF('Garden Data Entry'!D47&gt;0,('Garden Data Entry'!D47/'Garden Data Entry'!E47)*1.2,0)</f>
        <v>0</v>
      </c>
      <c r="C47" s="26" t="str">
        <f>IF(B47&gt;0,"As early as soil can be worked","")</f>
        <v/>
      </c>
      <c r="D47" s="26" t="str">
        <f>IF(B47&gt;0,$B$1-28,"")</f>
        <v/>
      </c>
      <c r="E47" s="26" t="str">
        <f>IF(B47&gt;0,"Fall planting varies with climate","")</f>
        <v/>
      </c>
      <c r="F47" s="44" t="str">
        <f>IF(C47&gt;0,"Fall planting varies with climate","")</f>
        <v>Fall planting varies with climate</v>
      </c>
      <c r="G47" s="62" t="str">
        <f>IF(B47&gt;0,'Garden Data Entry'!H47,"")</f>
        <v/>
      </c>
      <c r="H47" s="49" t="str">
        <f>IF(B47&gt;0,IF(OR(Ref!D44="Not Recommended",Ref!D44="NA"),Ref!D44,D47-Ref!D44),"")</f>
        <v/>
      </c>
      <c r="I47" s="21" t="str">
        <f>IF(B47&gt;0,IF(OR(Ref!D44="Not Recommended",Ref!D44="NA"),Ref!D44,IF(ISTEXT(F47),F47,F47-Ref!D44)),"")</f>
        <v/>
      </c>
      <c r="J47" s="23" t="str">
        <f>IF(B47&gt;0,IF(Ref!F44="DS","NA",ROUNDUP(B47*Ref!E44,0)),"")</f>
        <v/>
      </c>
      <c r="K47" s="23" t="str">
        <f t="shared" si="0"/>
        <v>NA</v>
      </c>
    </row>
    <row r="48" spans="1:11" ht="32" customHeight="1">
      <c r="A48" s="12" t="str">
        <f>'Garden Data Entry'!A48</f>
        <v>Peppers, Hot</v>
      </c>
      <c r="B48" s="23">
        <f>IF('Garden Data Entry'!D48&gt;0,('Garden Data Entry'!D48/'Garden Data Entry'!E48)*1.2,0)</f>
        <v>0</v>
      </c>
      <c r="C48" s="26" t="str">
        <f>IF(B48&gt;0,"Not Recommended","")</f>
        <v/>
      </c>
      <c r="D48" s="26" t="str">
        <f>IF(B48&gt;0,$B$1+14,"")</f>
        <v/>
      </c>
      <c r="E48" s="26" t="str">
        <f>IF(B48&gt;0,"Not recommended","")</f>
        <v/>
      </c>
      <c r="F48" s="44" t="str">
        <f>IF(B48&gt;0,IF($B$2-112&lt;D48,"One Planting",$B$2-112),"")</f>
        <v/>
      </c>
      <c r="G48" s="62" t="str">
        <f>IF(B48&gt;0,'Garden Data Entry'!H48,"")</f>
        <v/>
      </c>
      <c r="H48" s="49" t="str">
        <f>IF(B48&gt;0,IF(OR(Ref!D45="Not Recommended",Ref!D45="NA"),Ref!D45,D48-Ref!D45),"")</f>
        <v/>
      </c>
      <c r="I48" s="21" t="str">
        <f>IF(B48&gt;0,IF(OR(Ref!D45="Not Recommended",Ref!D45="NA"),Ref!D45,IF(ISTEXT(F48),F48,F48-Ref!D45)),"")</f>
        <v/>
      </c>
      <c r="J48" s="23" t="str">
        <f>IF(B48&gt;0,IF(Ref!F45="DS","NA",ROUNDUP(B48*Ref!E45,0)),"")</f>
        <v/>
      </c>
      <c r="K48" s="23" t="str">
        <f t="shared" si="0"/>
        <v>NA</v>
      </c>
    </row>
    <row r="49" spans="1:11" ht="33" customHeight="1">
      <c r="A49" s="12" t="str">
        <f>'Garden Data Entry'!A49</f>
        <v>Peppers, Sweet</v>
      </c>
      <c r="B49" s="23">
        <f>IF('Garden Data Entry'!D49&gt;0,('Garden Data Entry'!D49/'Garden Data Entry'!E49)*1.2,0)</f>
        <v>0</v>
      </c>
      <c r="C49" s="26" t="str">
        <f>IF(B49&gt;0,"Not Recommended","")</f>
        <v/>
      </c>
      <c r="D49" s="26" t="str">
        <f>IF(B49&gt;0,$B$1+14,"")</f>
        <v/>
      </c>
      <c r="E49" s="26" t="str">
        <f>IF(B49&gt;0,"Not recommended","")</f>
        <v/>
      </c>
      <c r="F49" s="44" t="str">
        <f>IF(B49&gt;0,IF($B$2-112&lt;D49,"One Planting",$B$2-112),"")</f>
        <v/>
      </c>
      <c r="G49" s="62" t="str">
        <f>IF(B49&gt;0,'Garden Data Entry'!H49,"")</f>
        <v/>
      </c>
      <c r="H49" s="49" t="str">
        <f>IF(B49&gt;0,IF(OR(Ref!D46="Not Recommended",Ref!D46="NA"),Ref!D46,D49-Ref!D46),"")</f>
        <v/>
      </c>
      <c r="I49" s="21" t="str">
        <f>IF(B49&gt;0,IF(OR(Ref!D46="Not Recommended",Ref!D46="NA"),Ref!D46,IF(ISTEXT(F49),F49,F49-Ref!D46)),"")</f>
        <v/>
      </c>
      <c r="J49" s="23" t="str">
        <f>IF(B49&gt;0,IF(Ref!F46="DS","NA",ROUNDUP(B49*Ref!E46,0)),"")</f>
        <v/>
      </c>
      <c r="K49" s="23" t="str">
        <f t="shared" si="0"/>
        <v>NA</v>
      </c>
    </row>
    <row r="50" spans="1:11" ht="29" customHeight="1">
      <c r="A50" s="12" t="str">
        <f>'Garden Data Entry'!A50</f>
        <v>Potatoes</v>
      </c>
      <c r="B50" s="23">
        <f>IF('Garden Data Entry'!D50&gt;0,('Garden Data Entry'!D50/'Garden Data Entry'!E50)*1.2,0)</f>
        <v>0</v>
      </c>
      <c r="C50" s="26" t="str">
        <f>IF(B50&gt;0,$B$1-28,"")</f>
        <v/>
      </c>
      <c r="D50" s="26" t="str">
        <f>IF(B50&gt;0,"NA","")</f>
        <v/>
      </c>
      <c r="E50" s="26" t="str">
        <f>IF(B50&gt;0,"Generally one planting in spring","")</f>
        <v/>
      </c>
      <c r="F50" s="44" t="str">
        <f>IF(D50&gt;0,"NA","")</f>
        <v>NA</v>
      </c>
      <c r="G50" s="62" t="str">
        <f>IF(B50&gt;0,'Garden Data Entry'!H50,"")</f>
        <v/>
      </c>
      <c r="H50" s="49" t="str">
        <f>IF(B50&gt;0,IF(OR(Ref!D47="Not Recommended",Ref!D47="NA"),Ref!D47,D50-Ref!D47),"")</f>
        <v/>
      </c>
      <c r="I50" s="21" t="str">
        <f>IF(B50&gt;0,IF(OR(Ref!D47="Not Recommended",Ref!D47="NA"),Ref!D47,IF(ISTEXT(F50),F50,F50-Ref!D47)),"")</f>
        <v/>
      </c>
      <c r="J50" s="23" t="str">
        <f>IF(B50&gt;0,IF(Ref!F47="DS","NA",ROUNDUP(B50*Ref!E47,0)),"")</f>
        <v/>
      </c>
      <c r="K50" s="23" t="str">
        <f t="shared" si="0"/>
        <v>NA</v>
      </c>
    </row>
    <row r="51" spans="1:11" ht="29" customHeight="1">
      <c r="A51" s="12" t="str">
        <f>'Garden Data Entry'!A51</f>
        <v>Raab</v>
      </c>
      <c r="B51" s="23">
        <f>IF('Garden Data Entry'!D51&gt;0,('Garden Data Entry'!D51/'Garden Data Entry'!E51)*1.2,0)</f>
        <v>0</v>
      </c>
      <c r="C51" s="26" t="str">
        <f>IF(B51&gt;0,$B$1-14,"")</f>
        <v/>
      </c>
      <c r="D51" s="26" t="str">
        <f>IF(B51&gt;0,$B$1-14,"")</f>
        <v/>
      </c>
      <c r="E51" s="26" t="str">
        <f>IF(B51&gt;0,IF($B$2-56&lt;C51,"NA",$B$2-56),"")</f>
        <v/>
      </c>
      <c r="F51" s="44" t="str">
        <f>IF(B51&gt;0,IF($B$2-42&lt;D51,"One Planting",$B$2-42),"")</f>
        <v/>
      </c>
      <c r="G51" s="62" t="str">
        <f>IF(B51&gt;0,'Garden Data Entry'!H51,"")</f>
        <v/>
      </c>
      <c r="H51" s="49" t="str">
        <f>IF(B51&gt;0,IF(OR(Ref!D48="Not Recommended",Ref!D48="NA"),Ref!D48,D51-Ref!D48),"")</f>
        <v/>
      </c>
      <c r="I51" s="21" t="str">
        <f>IF(B51&gt;0,IF(OR(Ref!D48="Not Recommended",Ref!D48="NA"),Ref!D48,IF(ISTEXT(F51),F51,F51-Ref!D48)),"")</f>
        <v/>
      </c>
      <c r="J51" s="23" t="str">
        <f>IF(B51&gt;0,IF(Ref!F48="DS","NA",ROUNDUP(B51*Ref!E48,0)),"")</f>
        <v/>
      </c>
      <c r="K51" s="23" t="str">
        <f t="shared" si="0"/>
        <v>NA</v>
      </c>
    </row>
    <row r="52" spans="1:11" ht="29" customHeight="1">
      <c r="A52" s="12" t="str">
        <f>'Garden Data Entry'!A52</f>
        <v>Radicchio</v>
      </c>
      <c r="B52" s="23">
        <f>IF('Garden Data Entry'!D52&gt;0,('Garden Data Entry'!D52/'Garden Data Entry'!E52)*1.2,0)</f>
        <v>0</v>
      </c>
      <c r="C52" s="26" t="str">
        <f>IF(B52&gt;0,$B$1-14,"")</f>
        <v/>
      </c>
      <c r="D52" s="26" t="str">
        <f>IF(B52&gt;0,$B$1-14,"")</f>
        <v/>
      </c>
      <c r="E52" s="26" t="str">
        <f>IF(B52&gt;0,"Fall planting varies with climate","")</f>
        <v/>
      </c>
      <c r="F52" s="44" t="str">
        <f>IF(C52&gt;0,"Fall planting varies with climate","")</f>
        <v>Fall planting varies with climate</v>
      </c>
      <c r="G52" s="62" t="str">
        <f>IF(B52&gt;0,'Garden Data Entry'!H52,"")</f>
        <v/>
      </c>
      <c r="H52" s="49" t="str">
        <f>IF(B52&gt;0,IF(OR(Ref!D49="Not Recommended",Ref!D49="NA"),Ref!D49,D52-Ref!D49),"")</f>
        <v/>
      </c>
      <c r="I52" s="21" t="str">
        <f>IF(B52&gt;0,IF(OR(Ref!D49="Not Recommended",Ref!D49="NA"),Ref!D49,IF(ISTEXT(F52),F52,F52-Ref!D49)),"")</f>
        <v/>
      </c>
      <c r="J52" s="23" t="str">
        <f>IF(B52&gt;0,IF(Ref!F49="DS","NA",ROUNDUP(B52*Ref!E49,0)),"")</f>
        <v/>
      </c>
      <c r="K52" s="23" t="str">
        <f t="shared" si="0"/>
        <v>NA</v>
      </c>
    </row>
    <row r="53" spans="1:11" ht="29" customHeight="1">
      <c r="A53" s="12" t="str">
        <f>'Garden Data Entry'!A53</f>
        <v>Radishes</v>
      </c>
      <c r="B53" s="23">
        <f>IF('Garden Data Entry'!D53&gt;0,('Garden Data Entry'!D53/'Garden Data Entry'!E53)*1.2,0)</f>
        <v>0</v>
      </c>
      <c r="C53" s="26" t="str">
        <f t="shared" ref="C53" si="5">IF(B53&gt;0,$B$1-28,"")</f>
        <v/>
      </c>
      <c r="D53" s="26" t="str">
        <f>IF(B53&gt;0,"Not Recommended","")</f>
        <v/>
      </c>
      <c r="E53" s="26" t="str">
        <f>IF(B53&gt;0,IF($B$2-28&lt;C53,"NA",$B$2-28),"")</f>
        <v/>
      </c>
      <c r="F53" s="44" t="str">
        <f>IF(D53&gt;0,"Not Recommended","")</f>
        <v>Not Recommended</v>
      </c>
      <c r="G53" s="62" t="str">
        <f>IF(B53&gt;0,'Garden Data Entry'!H53,"")</f>
        <v/>
      </c>
      <c r="H53" s="49" t="str">
        <f>IF(B53&gt;0,IF(OR(Ref!D50="Not Recommended",Ref!D50="NA"),Ref!D50,D53-Ref!D50),"")</f>
        <v/>
      </c>
      <c r="I53" s="21" t="str">
        <f>IF(B53&gt;0,IF(OR(Ref!D50="Not Recommended",Ref!D50="NA"),Ref!D50,IF(ISTEXT(F53),F53,F53-Ref!D50)),"")</f>
        <v/>
      </c>
      <c r="J53" s="23" t="str">
        <f>IF(B53&gt;0,IF(Ref!F50="DS","NA",ROUNDUP(B53*Ref!E50,0)),"")</f>
        <v/>
      </c>
      <c r="K53" s="23" t="str">
        <f t="shared" si="0"/>
        <v>NA</v>
      </c>
    </row>
    <row r="54" spans="1:11" ht="35" customHeight="1">
      <c r="A54" s="12" t="str">
        <f>'Garden Data Entry'!A54</f>
        <v>Rutabagas</v>
      </c>
      <c r="B54" s="23">
        <f>IF('Garden Data Entry'!D54&gt;0,('Garden Data Entry'!D54/'Garden Data Entry'!E54)*1.2,0)</f>
        <v>0</v>
      </c>
      <c r="C54" s="26" t="str">
        <f>IF(B54&gt;0,"Best from Fall Planting","")</f>
        <v/>
      </c>
      <c r="D54" s="26" t="str">
        <f>IF(B54&gt;0,"Not Recommended","")</f>
        <v/>
      </c>
      <c r="E54" s="26" t="str">
        <f>IF(B54&gt;0,$B$2-84,"")</f>
        <v/>
      </c>
      <c r="F54" s="44" t="str">
        <f>IF(D54&gt;0,"Not Recommended","")</f>
        <v>Not Recommended</v>
      </c>
      <c r="G54" s="62" t="str">
        <f>IF(B54&gt;0,'Garden Data Entry'!H54,"")</f>
        <v/>
      </c>
      <c r="H54" s="49" t="str">
        <f>IF(B54&gt;0,IF(OR(Ref!D51="Not Recommended",Ref!D51="NA"),Ref!D51,D54-Ref!D51),"")</f>
        <v/>
      </c>
      <c r="I54" s="21" t="str">
        <f>IF(B54&gt;0,IF(OR(Ref!D51="Not Recommended",Ref!D51="NA"),Ref!D51,IF(ISTEXT(F54),F54,F54-Ref!D51)),"")</f>
        <v/>
      </c>
      <c r="J54" s="23" t="str">
        <f>IF(B54&gt;0,IF(Ref!F51="DS","NA",ROUNDUP(B54*Ref!E51,0)),"")</f>
        <v/>
      </c>
      <c r="K54" s="23" t="str">
        <f t="shared" si="0"/>
        <v>NA</v>
      </c>
    </row>
    <row r="55" spans="1:11" ht="29" customHeight="1">
      <c r="A55" s="12" t="str">
        <f>'Garden Data Entry'!A55</f>
        <v>Scallions</v>
      </c>
      <c r="B55" s="23">
        <f>IF('Garden Data Entry'!D55&gt;0,('Garden Data Entry'!D55/'Garden Data Entry'!E55)*1.2,0)</f>
        <v>0</v>
      </c>
      <c r="C55" s="26" t="str">
        <f>IF(B55&gt;0,$B$1-42,"")</f>
        <v/>
      </c>
      <c r="D55" s="26" t="str">
        <f>IF(B55&gt;0,$B$1-42,"")</f>
        <v/>
      </c>
      <c r="E55" s="26" t="str">
        <f>IF(B55&gt;0,IF($B$2-56&lt;C55,"NA",$B$2-56),"")</f>
        <v/>
      </c>
      <c r="F55" s="44" t="str">
        <f>IF(B55&gt;0,IF($B$2-56&lt;D55,"One Planting",$B$2-56),"")</f>
        <v/>
      </c>
      <c r="G55" s="62" t="str">
        <f>IF(B55&gt;0,'Garden Data Entry'!H55,"")</f>
        <v/>
      </c>
      <c r="H55" s="49" t="str">
        <f>IF(B55&gt;0,IF(OR(Ref!D52="Not Recommended",Ref!D52="NA"),Ref!D52,D55-Ref!D52),"")</f>
        <v/>
      </c>
      <c r="I55" s="21" t="str">
        <f>IF(B55&gt;0,IF(OR(Ref!D52="Not Recommended",Ref!D52="NA"),Ref!D52,IF(ISTEXT(F55),F55,F55-Ref!D52)),"")</f>
        <v/>
      </c>
      <c r="J55" s="23" t="str">
        <f>IF(B55&gt;0,IF(Ref!F52="DS","NA",ROUNDUP(B55*Ref!E52,0)),"")</f>
        <v/>
      </c>
      <c r="K55" s="23" t="str">
        <f t="shared" si="0"/>
        <v>NA</v>
      </c>
    </row>
    <row r="56" spans="1:11" ht="34" customHeight="1">
      <c r="A56" s="12" t="str">
        <f>'Garden Data Entry'!A56</f>
        <v>Spinach</v>
      </c>
      <c r="B56" s="23">
        <f>IF('Garden Data Entry'!D56&gt;0,('Garden Data Entry'!D56/'Garden Data Entry'!E56)*1.2,0)</f>
        <v>0</v>
      </c>
      <c r="C56" s="26" t="str">
        <f>IF(B56&gt;0,"As early as soil can be worked","")</f>
        <v/>
      </c>
      <c r="D56" s="26" t="str">
        <f>IF(B56&gt;0,$B$1-28,"")</f>
        <v/>
      </c>
      <c r="E56" s="26" t="str">
        <f>IF(B56&gt;0,$B$2-21,"")</f>
        <v/>
      </c>
      <c r="F56" s="44" t="str">
        <f>IF(B56&gt;0,IF($B$2-21&lt;D56,"One Planting",$B$2-21),"")</f>
        <v/>
      </c>
      <c r="G56" s="62" t="str">
        <f>IF(B56&gt;0,'Garden Data Entry'!H56,"")</f>
        <v/>
      </c>
      <c r="H56" s="49" t="str">
        <f>IF(B56&gt;0,IF(OR(Ref!D53="Not Recommended",Ref!D53="NA"),Ref!D53,D56-Ref!D53),"")</f>
        <v/>
      </c>
      <c r="I56" s="21" t="str">
        <f>IF(B56&gt;0,IF(OR(Ref!D53="Not Recommended",Ref!D53="NA"),Ref!D53,IF(ISTEXT(F56),F56,F56-Ref!D53)),"")</f>
        <v/>
      </c>
      <c r="J56" s="23" t="str">
        <f>IF(B56&gt;0,IF(Ref!F53="DS","NA",ROUNDUP(B56*Ref!E53,0)),"")</f>
        <v/>
      </c>
      <c r="K56" s="23" t="str">
        <f t="shared" si="0"/>
        <v>NA</v>
      </c>
    </row>
    <row r="57" spans="1:11" ht="34" customHeight="1">
      <c r="A57" s="12" t="str">
        <f>'Garden Data Entry'!A57</f>
        <v>Squash, Summer</v>
      </c>
      <c r="B57" s="23">
        <f>IF('Garden Data Entry'!D57&gt;0,('Garden Data Entry'!D57/'Garden Data Entry'!E57)*1.2,0)</f>
        <v>0</v>
      </c>
      <c r="C57" s="26" t="str">
        <f>IF(B57&gt;0,"When soil temp reaches 70 F","")</f>
        <v/>
      </c>
      <c r="D57" s="26" t="str">
        <f>IF(B57&gt;0,$B$1+14,"")</f>
        <v/>
      </c>
      <c r="E57" s="26" t="str">
        <f>IF(B57&gt;0,$B$2-105,"")</f>
        <v/>
      </c>
      <c r="F57" s="44" t="str">
        <f>IF(B57&gt;0,IF($B$2-84&lt;D57,"One Planting",$B$2-84),"")</f>
        <v/>
      </c>
      <c r="G57" s="62" t="str">
        <f>IF(B57&gt;0,'Garden Data Entry'!H57,"")</f>
        <v/>
      </c>
      <c r="H57" s="49" t="str">
        <f>IF(B57&gt;0,IF(OR(Ref!D54="Not Recommended",Ref!D54="NA"),Ref!D54,D57-Ref!D54),"")</f>
        <v/>
      </c>
      <c r="I57" s="21" t="str">
        <f>IF(B57&gt;0,IF(OR(Ref!D54="Not Recommended",Ref!D54="NA"),Ref!D54,IF(ISTEXT(F57),F57,F57-Ref!D54)),"")</f>
        <v/>
      </c>
      <c r="J57" s="23" t="str">
        <f>IF(B57&gt;0,IF(Ref!F54="DS","NA",ROUNDUP(B57*Ref!E54,0)),"")</f>
        <v/>
      </c>
      <c r="K57" s="23" t="str">
        <f t="shared" si="0"/>
        <v>NA</v>
      </c>
    </row>
    <row r="58" spans="1:11" ht="35" customHeight="1">
      <c r="A58" s="12" t="str">
        <f>'Garden Data Entry'!A58</f>
        <v>Squash, Pumpkins</v>
      </c>
      <c r="B58" s="23">
        <f>IF('Garden Data Entry'!D58&gt;0,('Garden Data Entry'!D58/'Garden Data Entry'!E58)*1.2,0)</f>
        <v>0</v>
      </c>
      <c r="C58" s="26" t="str">
        <f t="shared" ref="C58:C59" si="6">IF(B58&gt;0,"When soil temp reaches 70 F","")</f>
        <v/>
      </c>
      <c r="D58" s="26" t="str">
        <f t="shared" ref="D58:D59" si="7">IF(B58&gt;0,$B$1+14,"")</f>
        <v/>
      </c>
      <c r="E58" s="26" t="str">
        <f>IF(B58&gt;0,"Variable depending on type","")</f>
        <v/>
      </c>
      <c r="F58" s="44" t="str">
        <f>IF(C58&gt;0,"Variable depending on type","")</f>
        <v>Variable depending on type</v>
      </c>
      <c r="G58" s="62" t="str">
        <f>IF(B58&gt;0,'Garden Data Entry'!H58,"")</f>
        <v/>
      </c>
      <c r="H58" s="49" t="str">
        <f>IF(B58&gt;0,IF(OR(Ref!D55="Not Recommended",Ref!D55="NA"),Ref!D55,D58-Ref!D55),"")</f>
        <v/>
      </c>
      <c r="I58" s="21" t="str">
        <f>IF(B58&gt;0,IF(OR(Ref!D55="Not Recommended",Ref!D55="NA"),Ref!D55,IF(ISTEXT(F58),F58,F58-Ref!D55)),"")</f>
        <v/>
      </c>
      <c r="J58" s="23" t="str">
        <f>IF(B58&gt;0,IF(Ref!F55="DS","NA",ROUNDUP(B58*Ref!E55,0)),"")</f>
        <v/>
      </c>
      <c r="K58" s="23" t="str">
        <f t="shared" si="0"/>
        <v>NA</v>
      </c>
    </row>
    <row r="59" spans="1:11" ht="32" customHeight="1">
      <c r="A59" s="12" t="str">
        <f>'Garden Data Entry'!A59</f>
        <v>Squash, Winter</v>
      </c>
      <c r="B59" s="23">
        <f>IF('Garden Data Entry'!D59&gt;0,('Garden Data Entry'!D59/'Garden Data Entry'!E59)*1.2,0)</f>
        <v>0</v>
      </c>
      <c r="C59" s="26" t="str">
        <f t="shared" si="6"/>
        <v/>
      </c>
      <c r="D59" s="26" t="str">
        <f t="shared" si="7"/>
        <v/>
      </c>
      <c r="E59" s="26" t="str">
        <f>IF(B59&gt;0,"Variable depending on type","")</f>
        <v/>
      </c>
      <c r="F59" s="44" t="str">
        <f>IF(C59&gt;0,"Variable depending on type","")</f>
        <v>Variable depending on type</v>
      </c>
      <c r="G59" s="62" t="str">
        <f>IF(B59&gt;0,'Garden Data Entry'!H59,"")</f>
        <v/>
      </c>
      <c r="H59" s="49" t="str">
        <f>IF(B59&gt;0,IF(OR(Ref!D56="Not Recommended",Ref!D56="NA"),Ref!D56,D59-Ref!D56),"")</f>
        <v/>
      </c>
      <c r="I59" s="21" t="str">
        <f>IF(B59&gt;0,IF(OR(Ref!D56="Not Recommended",Ref!D56="NA"),Ref!D56,IF(ISTEXT(F59),F59,F59-Ref!D56)),"")</f>
        <v/>
      </c>
      <c r="J59" s="23" t="str">
        <f>IF(B59&gt;0,IF(Ref!F56="DS","NA",ROUNDUP(B59*Ref!E56,0)),"")</f>
        <v/>
      </c>
      <c r="K59" s="23" t="str">
        <f t="shared" si="0"/>
        <v>NA</v>
      </c>
    </row>
    <row r="60" spans="1:11" ht="32" customHeight="1">
      <c r="A60" s="12" t="str">
        <f>'Garden Data Entry'!A60</f>
        <v>Sweet Potatoes</v>
      </c>
      <c r="B60" s="23">
        <f>IF('Garden Data Entry'!D60&gt;0,('Garden Data Entry'!D60/'Garden Data Entry'!E60)*1.2,0)</f>
        <v>0</v>
      </c>
      <c r="C60" s="26" t="str">
        <f>IF(B60&gt;0,"NA","")</f>
        <v/>
      </c>
      <c r="D60" s="26" t="str">
        <f>IF(B60&gt;0,"When soil temp reaches 60 F","")</f>
        <v/>
      </c>
      <c r="E60" s="26" t="str">
        <f>IF(B60&gt;0,"Generally one planting in spring","")</f>
        <v/>
      </c>
      <c r="F60" s="44" t="str">
        <f>IF(C60&gt;0,"Generally one planting in spring","")</f>
        <v>Generally one planting in spring</v>
      </c>
      <c r="G60" s="62" t="str">
        <f>IF(B60&gt;0,'Garden Data Entry'!H60,"")</f>
        <v/>
      </c>
      <c r="H60" s="49" t="str">
        <f>IF(B60&gt;0,IF(OR(Ref!D57="Not Recommended",Ref!D57="NA"),Ref!D57,D60-Ref!D57),"")</f>
        <v/>
      </c>
      <c r="I60" s="21" t="str">
        <f>IF(B60&gt;0,IF(OR(Ref!D57="Not Recommended",Ref!D57="NA"),Ref!D57,IF(ISTEXT(F60),F60,F60-Ref!D57)),"")</f>
        <v/>
      </c>
      <c r="J60" s="23" t="str">
        <f>IF(B60&gt;0,IF(Ref!F57="DS","NA",ROUNDUP(B60*Ref!E57,0)),"")</f>
        <v/>
      </c>
      <c r="K60" s="23" t="str">
        <f t="shared" si="0"/>
        <v>NA</v>
      </c>
    </row>
    <row r="61" spans="1:11" ht="33" customHeight="1">
      <c r="A61" s="12" t="str">
        <f>'Garden Data Entry'!A61</f>
        <v>Tomatillos</v>
      </c>
      <c r="B61" s="23">
        <f>IF('Garden Data Entry'!D61&gt;0,('Garden Data Entry'!D61/'Garden Data Entry'!E61)*1.2,0)</f>
        <v>0</v>
      </c>
      <c r="C61" s="26" t="str">
        <f>IF(B61&gt;0,"Not Recommended","")</f>
        <v/>
      </c>
      <c r="D61" s="26" t="str">
        <f>IF(B61&gt;0,$B$1+14,"")</f>
        <v/>
      </c>
      <c r="E61" s="26" t="str">
        <f>IF(B61&gt;0,"Variable depending on type","")</f>
        <v/>
      </c>
      <c r="F61" s="44" t="str">
        <f>IF(C61&gt;0,"Variable depending on type","")</f>
        <v>Variable depending on type</v>
      </c>
      <c r="G61" s="62" t="str">
        <f>IF(B61&gt;0,'Garden Data Entry'!H61,"")</f>
        <v/>
      </c>
      <c r="H61" s="49" t="str">
        <f>IF(B61&gt;0,IF(OR(Ref!D58="Not Recommended",Ref!D58="NA"),Ref!D58,D61-Ref!D58),"")</f>
        <v/>
      </c>
      <c r="I61" s="21" t="str">
        <f>IF(B61&gt;0,IF(OR(Ref!D58="Not Recommended",Ref!D58="NA"),Ref!D58,IF(ISTEXT(F61),F61,F61-Ref!D58)),"")</f>
        <v/>
      </c>
      <c r="J61" s="23" t="str">
        <f>IF(B61&gt;0,IF(Ref!F58="DS","NA",ROUNDUP(B61*Ref!E58,0)),"")</f>
        <v/>
      </c>
      <c r="K61" s="23" t="str">
        <f t="shared" si="0"/>
        <v>NA</v>
      </c>
    </row>
    <row r="62" spans="1:11" ht="31" customHeight="1">
      <c r="A62" s="12" t="str">
        <f>'Garden Data Entry'!A62</f>
        <v>Tomatoes</v>
      </c>
      <c r="B62" s="23">
        <f>IF('Garden Data Entry'!D62&gt;0,('Garden Data Entry'!D62/'Garden Data Entry'!E62)*1.2,0)</f>
        <v>0</v>
      </c>
      <c r="C62" s="26" t="str">
        <f>IF(B62&gt;0,"Not Recommended","")</f>
        <v/>
      </c>
      <c r="D62" s="26" t="str">
        <f>IF(B62&gt;0,$B$1+14,"")</f>
        <v/>
      </c>
      <c r="E62" s="26" t="str">
        <f>IF(B62&gt;0,"Variable depending on type","")</f>
        <v/>
      </c>
      <c r="F62" s="44" t="str">
        <f>IF(C62&gt;0,"Variable depending on type","")</f>
        <v>Variable depending on type</v>
      </c>
      <c r="G62" s="62" t="str">
        <f>IF(B62&gt;0,'Garden Data Entry'!H62,"")</f>
        <v/>
      </c>
      <c r="H62" s="49" t="str">
        <f>IF(B62&gt;0,IF(OR(Ref!D59="Not Recommended",Ref!D59="NA"),Ref!D59,D62-Ref!D59),"")</f>
        <v/>
      </c>
      <c r="I62" s="21" t="str">
        <f>IF(B62&gt;0,IF(OR(Ref!D59="Not Recommended",Ref!D59="NA"),Ref!D59,IF(ISTEXT(F62),F62,F62-Ref!D59)),"")</f>
        <v/>
      </c>
      <c r="J62" s="23" t="str">
        <f>IF(B62&gt;0,IF(Ref!F59="DS","NA",ROUNDUP(B62*Ref!E59,0)),"")</f>
        <v/>
      </c>
      <c r="K62" s="23" t="str">
        <f t="shared" si="0"/>
        <v>NA</v>
      </c>
    </row>
    <row r="63" spans="1:11" ht="29" customHeight="1">
      <c r="A63" s="12" t="str">
        <f>'Garden Data Entry'!A63</f>
        <v>Turnips</v>
      </c>
      <c r="B63" s="23">
        <f>IF('Garden Data Entry'!D63&gt;0,('Garden Data Entry'!D63/'Garden Data Entry'!E63)*1.2,0)</f>
        <v>0</v>
      </c>
      <c r="C63" s="26" t="str">
        <f>IF(B63&gt;0,$B$1-14,"")</f>
        <v/>
      </c>
      <c r="D63" s="26" t="str">
        <f>IF(B63&gt;0,"Not Recommended","")</f>
        <v/>
      </c>
      <c r="E63" s="26" t="str">
        <f>IF(B63&gt;0,IF($B$2-49&lt;C63,"NA",$B$2-49),"")</f>
        <v/>
      </c>
      <c r="F63" s="44" t="str">
        <f>IF(D63&gt;0,"Not Recommended","")</f>
        <v>Not Recommended</v>
      </c>
      <c r="G63" s="62" t="str">
        <f>IF(B63&gt;0,'Garden Data Entry'!H63,"")</f>
        <v/>
      </c>
      <c r="H63" s="49" t="str">
        <f>IF(B63&gt;0,IF(OR(Ref!D60="Not Recommended",Ref!D60="NA"),Ref!D60,D63-Ref!D60),"")</f>
        <v/>
      </c>
      <c r="I63" s="21" t="str">
        <f>IF(B63&gt;0,IF(OR(Ref!D60="Not Recommended",Ref!D60="NA"),Ref!D60,IF(ISTEXT(F63),F63,F63-Ref!D60)),"")</f>
        <v/>
      </c>
      <c r="J63" s="23" t="str">
        <f>IF(B63&gt;0,IF(Ref!F60="DS","NA",ROUNDUP(B63*Ref!E60,0)),"")</f>
        <v/>
      </c>
      <c r="K63" s="23" t="str">
        <f t="shared" si="0"/>
        <v>NA</v>
      </c>
    </row>
    <row r="64" spans="1:11" ht="29" customHeight="1">
      <c r="A64" s="12" t="str">
        <f>'Garden Data Entry'!A64</f>
        <v>Watermelon</v>
      </c>
      <c r="B64" s="23">
        <f>IF('Garden Data Entry'!D64&gt;0,('Garden Data Entry'!D64/'Garden Data Entry'!E64)*1.2,0)</f>
        <v>0</v>
      </c>
      <c r="C64" s="26" t="str">
        <f>IF(B64&gt;0,"When soil temp reaches 70 F","")</f>
        <v/>
      </c>
      <c r="D64" s="26" t="str">
        <f>IF(B64&gt;0,$B$1+28,"")</f>
        <v/>
      </c>
      <c r="E64" s="26" t="str">
        <f>IF(B64&gt;0,"Variable depending on type","")</f>
        <v/>
      </c>
      <c r="F64" s="44" t="str">
        <f>IF(C64&gt;0,"Variable depending on type","")</f>
        <v>Variable depending on type</v>
      </c>
      <c r="G64" s="62" t="str">
        <f>IF(B64&gt;0,'Garden Data Entry'!H64,"")</f>
        <v/>
      </c>
      <c r="H64" s="49" t="str">
        <f>IF(B64&gt;0,IF(OR(Ref!D61="Not Recommended",Ref!D61="NA"),Ref!D61,D64-Ref!D61),"")</f>
        <v/>
      </c>
      <c r="I64" s="21" t="str">
        <f>IF(B64&gt;0,IF(OR(Ref!D61="Not Recommended",Ref!D61="NA"),Ref!D61,IF(ISTEXT(F64),F64,F64-Ref!D61)),"")</f>
        <v/>
      </c>
      <c r="J64" s="23" t="str">
        <f>IF(B64&gt;0,IF(Ref!F61="DS","NA",ROUNDUP(B64*Ref!E61,0)),"")</f>
        <v/>
      </c>
      <c r="K64" s="23" t="str">
        <f t="shared" si="0"/>
        <v>NA</v>
      </c>
    </row>
    <row r="65" spans="2:7" ht="29" customHeight="1">
      <c r="B65" s="18"/>
      <c r="G65" s="67"/>
    </row>
    <row r="66" spans="2:7" ht="29" customHeight="1">
      <c r="G66" s="67"/>
    </row>
    <row r="67" spans="2:7" ht="29" customHeight="1">
      <c r="G67" s="67"/>
    </row>
    <row r="68" spans="2:7" ht="29" customHeight="1">
      <c r="G68" s="67"/>
    </row>
    <row r="69" spans="2:7" ht="29" customHeight="1">
      <c r="G69" s="67"/>
    </row>
    <row r="70" spans="2:7" ht="29" customHeight="1">
      <c r="G70" s="67"/>
    </row>
    <row r="71" spans="2:7" ht="29" customHeight="1">
      <c r="G71" s="67"/>
    </row>
    <row r="72" spans="2:7" ht="29" customHeight="1">
      <c r="G72" s="67"/>
    </row>
  </sheetData>
  <sheetProtection sheet="1" objects="1" scenarios="1"/>
  <mergeCells count="1">
    <mergeCell ref="H2:K2"/>
  </mergeCells>
  <phoneticPr fontId="5" type="noConversion"/>
  <printOptions gridLines="1"/>
  <pageMargins left="0.25" right="0.2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pane xSplit="1" ySplit="2" topLeftCell="B3" activePane="bottomRight" state="frozen"/>
      <selection pane="topRight" activeCell="B1" sqref="B1"/>
      <selection pane="bottomLeft" activeCell="A3" sqref="A3"/>
      <selection pane="bottomRight" activeCell="F3" sqref="F3"/>
    </sheetView>
  </sheetViews>
  <sheetFormatPr baseColWidth="10" defaultColWidth="42.5" defaultRowHeight="150" customHeight="1" x14ac:dyDescent="0"/>
  <cols>
    <col min="1" max="1" width="19.83203125" style="9" customWidth="1"/>
    <col min="2" max="2" width="28.5" style="9" customWidth="1"/>
    <col min="3" max="3" width="30.1640625" style="9" customWidth="1"/>
    <col min="4" max="4" width="25" style="71" customWidth="1"/>
    <col min="5" max="5" width="47.83203125" style="71" customWidth="1"/>
    <col min="6" max="6" width="34.1640625" style="9" customWidth="1"/>
    <col min="7" max="7" width="25.6640625" style="71" customWidth="1"/>
    <col min="8" max="8" width="22.6640625" style="9" customWidth="1"/>
    <col min="9" max="9" width="24.33203125" style="38" customWidth="1"/>
    <col min="10" max="10" width="23.33203125" style="9" customWidth="1"/>
    <col min="11" max="11" width="26.6640625" style="9" customWidth="1"/>
    <col min="12" max="12" width="27.33203125" style="9" customWidth="1"/>
    <col min="13" max="16384" width="42.5" style="9"/>
  </cols>
  <sheetData>
    <row r="1" spans="1:12" ht="80" customHeight="1">
      <c r="A1" s="10" t="s">
        <v>192</v>
      </c>
      <c r="B1" s="10" t="s">
        <v>211</v>
      </c>
      <c r="C1" s="10" t="s">
        <v>193</v>
      </c>
      <c r="D1" s="60" t="s">
        <v>194</v>
      </c>
      <c r="E1" s="60" t="s">
        <v>195</v>
      </c>
      <c r="F1" s="10" t="s">
        <v>196</v>
      </c>
      <c r="G1" s="60" t="s">
        <v>197</v>
      </c>
      <c r="H1" s="10" t="s">
        <v>206</v>
      </c>
      <c r="I1" s="41" t="s">
        <v>294</v>
      </c>
      <c r="J1" s="41" t="s">
        <v>295</v>
      </c>
      <c r="K1" s="41" t="s">
        <v>296</v>
      </c>
      <c r="L1" s="41" t="s">
        <v>297</v>
      </c>
    </row>
    <row r="2" spans="1:12" ht="139" customHeight="1">
      <c r="A2" s="40"/>
      <c r="B2" s="8"/>
      <c r="C2" s="8"/>
      <c r="D2" s="68" t="s">
        <v>214</v>
      </c>
      <c r="E2" s="69" t="s">
        <v>213</v>
      </c>
      <c r="F2" s="11" t="s">
        <v>212</v>
      </c>
      <c r="G2" s="72" t="s">
        <v>324</v>
      </c>
      <c r="H2" s="11" t="s">
        <v>215</v>
      </c>
      <c r="I2" s="25" t="s">
        <v>327</v>
      </c>
      <c r="J2" s="25" t="s">
        <v>327</v>
      </c>
      <c r="K2" s="25" t="s">
        <v>327</v>
      </c>
      <c r="L2" s="25" t="s">
        <v>327</v>
      </c>
    </row>
    <row r="3" spans="1:12" ht="34" customHeight="1">
      <c r="A3" s="8" t="s">
        <v>325</v>
      </c>
      <c r="B3" s="8" t="s">
        <v>198</v>
      </c>
      <c r="C3" s="8" t="s">
        <v>13</v>
      </c>
      <c r="D3" s="69"/>
      <c r="E3" s="69"/>
      <c r="F3" s="11">
        <f>(D3*E3*(Ref!D137))/16</f>
        <v>0</v>
      </c>
      <c r="G3" s="72">
        <v>0.25</v>
      </c>
      <c r="H3" s="11">
        <f>(F3/G3)*1.2</f>
        <v>0</v>
      </c>
      <c r="I3" s="37" t="str">
        <f>IF(D3&gt;0,'Garden Data Entry'!$B$1,"")</f>
        <v/>
      </c>
      <c r="J3" s="26" t="str">
        <f>IF(D3&gt;0,'Garden Data Entry'!$B$1+14,"")</f>
        <v/>
      </c>
      <c r="K3" s="37" t="str">
        <f>IF(D3&gt;0,IF('Garden Data Entry'!$B$2-70&lt;I3,"NA",'Garden Data Entry'!$B$2-70),"")</f>
        <v/>
      </c>
      <c r="L3" s="37" t="str">
        <f>IF(D3&gt;0,IF('Garden Data Entry'!$B$2-56&lt;J3,"One Planting",'Garden Data Entry'!$B$2-56),"")</f>
        <v/>
      </c>
    </row>
    <row r="4" spans="1:12" ht="29" customHeight="1">
      <c r="A4" s="8" t="s">
        <v>16</v>
      </c>
      <c r="B4" s="8" t="s">
        <v>199</v>
      </c>
      <c r="C4" s="8" t="s">
        <v>17</v>
      </c>
      <c r="D4" s="69"/>
      <c r="E4" s="69"/>
      <c r="F4" s="11">
        <f>(D4*E4*(Ref!D138))/16</f>
        <v>0</v>
      </c>
      <c r="G4" s="72">
        <v>0.5</v>
      </c>
      <c r="H4" s="11">
        <f t="shared" ref="H4:H19" si="0">(F4/G4)*1.2</f>
        <v>0</v>
      </c>
      <c r="I4" s="37" t="str">
        <f>IF(D4&gt;0,'Garden Data Entry'!$B$1,"")</f>
        <v/>
      </c>
      <c r="J4" s="37" t="str">
        <f>IF(D4&gt;0,"Not Recommended","")</f>
        <v/>
      </c>
      <c r="K4" s="37" t="str">
        <f>IF(D4&gt;0,IF('Garden Data Entry'!$B$2-84&lt;I4,"NA",'Garden Data Entry'!$B$2-84),"")</f>
        <v/>
      </c>
      <c r="L4" s="11" t="str">
        <f>IF(D4&gt;0,"Not Recommended","")</f>
        <v/>
      </c>
    </row>
    <row r="5" spans="1:12" ht="29" customHeight="1">
      <c r="A5" s="8" t="s">
        <v>18</v>
      </c>
      <c r="B5" s="8" t="s">
        <v>200</v>
      </c>
      <c r="C5" s="8" t="s">
        <v>19</v>
      </c>
      <c r="D5" s="69"/>
      <c r="E5" s="69"/>
      <c r="F5" s="11">
        <f>(D5*E5*(Ref!D139))/16</f>
        <v>0</v>
      </c>
      <c r="G5" s="72">
        <v>0.4</v>
      </c>
      <c r="H5" s="11">
        <f t="shared" si="0"/>
        <v>0</v>
      </c>
      <c r="I5" s="37" t="str">
        <f>IF(D5&gt;0,'Garden Data Entry'!$B$1+14,"")</f>
        <v/>
      </c>
      <c r="J5" s="26" t="str">
        <f>IF(D5&gt;0,'Garden Data Entry'!$B$1-14,"")</f>
        <v/>
      </c>
      <c r="K5" s="37" t="str">
        <f>IF(D5&gt;0,IF('Garden Data Entry'!$B$2-84&lt;I5,"NA",'Garden Data Entry'!$B$2-84),"")</f>
        <v/>
      </c>
      <c r="L5" s="37" t="str">
        <f>IF(D5&gt;0,IF('Garden Data Entry'!$B$2-70&lt;J5,"One Planting",'Garden Data Entry'!$B$2-70),"")</f>
        <v/>
      </c>
    </row>
    <row r="6" spans="1:12" ht="29" customHeight="1">
      <c r="A6" s="8" t="s">
        <v>22</v>
      </c>
      <c r="B6" s="8" t="s">
        <v>201</v>
      </c>
      <c r="C6" s="8" t="s">
        <v>23</v>
      </c>
      <c r="D6" s="69"/>
      <c r="E6" s="69"/>
      <c r="F6" s="11">
        <f>(D6*E6*(Ref!D140))/16</f>
        <v>0</v>
      </c>
      <c r="G6" s="72">
        <v>1.5</v>
      </c>
      <c r="H6" s="11">
        <f t="shared" si="0"/>
        <v>0</v>
      </c>
      <c r="I6" s="37" t="str">
        <f>IF(D6&gt;0,'Garden Data Entry'!$B$1-14,"")</f>
        <v/>
      </c>
      <c r="J6" s="26" t="str">
        <f>IF(D6&gt;0,'Garden Data Entry'!$B$1-14,"")</f>
        <v/>
      </c>
      <c r="K6" s="37" t="str">
        <f>IF(D6&gt;0,IF('Garden Data Entry'!$B$2-98&lt;I6,"NA",'Garden Data Entry'!$B$2-98),"")</f>
        <v/>
      </c>
      <c r="L6" s="37" t="str">
        <f>IF(D6&gt;0,IF('Garden Data Entry'!$B$2-84&lt;J6,"One Planting",'Garden Data Entry'!$B$2-84),"")</f>
        <v/>
      </c>
    </row>
    <row r="7" spans="1:12" ht="29" customHeight="1">
      <c r="A7" s="8" t="s">
        <v>25</v>
      </c>
      <c r="B7" s="8" t="s">
        <v>202</v>
      </c>
      <c r="C7" s="8" t="s">
        <v>26</v>
      </c>
      <c r="D7" s="69"/>
      <c r="E7" s="69"/>
      <c r="F7" s="11">
        <f>(D7*E7*(Ref!D141))/16</f>
        <v>0</v>
      </c>
      <c r="G7" s="72">
        <v>1</v>
      </c>
      <c r="H7" s="11">
        <f t="shared" si="0"/>
        <v>0</v>
      </c>
      <c r="I7" s="37" t="str">
        <f>IF(D7&gt;0,'Garden Data Entry'!$B$1-14,"")</f>
        <v/>
      </c>
      <c r="J7" s="37" t="str">
        <f>IF(D7&gt;0,"Not Recommended","")</f>
        <v/>
      </c>
      <c r="K7" s="37" t="str">
        <f>IF(D7&gt;0,IF('Garden Data Entry'!$B$2-84&lt;I7,"NA",'Garden Data Entry'!$B$2-84),"")</f>
        <v/>
      </c>
      <c r="L7" s="11" t="str">
        <f>IF(D7&gt;0,"Not Recommended","")</f>
        <v/>
      </c>
    </row>
    <row r="8" spans="1:12" ht="29" customHeight="1">
      <c r="A8" s="8" t="s">
        <v>29</v>
      </c>
      <c r="B8" s="8" t="s">
        <v>202</v>
      </c>
      <c r="C8" s="8" t="s">
        <v>30</v>
      </c>
      <c r="D8" s="69"/>
      <c r="E8" s="69"/>
      <c r="F8" s="11">
        <f>(D8*E8*(Ref!D142))/16</f>
        <v>0</v>
      </c>
      <c r="G8" s="72">
        <v>0.75</v>
      </c>
      <c r="H8" s="11">
        <f t="shared" si="0"/>
        <v>0</v>
      </c>
      <c r="I8" s="37" t="str">
        <f>IF(D8&gt;0,'Garden Data Entry'!$B$1-14,"")</f>
        <v/>
      </c>
      <c r="J8" s="26" t="str">
        <f>IF(D8&gt;0,'Garden Data Entry'!$B$1+14,"")</f>
        <v/>
      </c>
      <c r="K8" s="37" t="str">
        <f>IF(D8&gt;0,IF('Garden Data Entry'!$B$2-98&lt;I8,"NA",'Garden Data Entry'!$B$2-98),"")</f>
        <v/>
      </c>
      <c r="L8" s="37" t="str">
        <f>IF(D8&gt;0,IF('Garden Data Entry'!$B$2-112&lt;J8,"One Planting",'Garden Data Entry'!$B$2-112),"")</f>
        <v/>
      </c>
    </row>
    <row r="9" spans="1:12" ht="33" customHeight="1">
      <c r="A9" s="8" t="s">
        <v>36</v>
      </c>
      <c r="B9" s="8" t="s">
        <v>200</v>
      </c>
      <c r="C9" s="8" t="s">
        <v>37</v>
      </c>
      <c r="D9" s="69"/>
      <c r="E9" s="69"/>
      <c r="F9" s="11">
        <f>(D9*E9*(Ref!D143))/16</f>
        <v>0</v>
      </c>
      <c r="G9" s="72">
        <v>0.5</v>
      </c>
      <c r="H9" s="11">
        <f t="shared" si="0"/>
        <v>0</v>
      </c>
      <c r="I9" s="37" t="str">
        <f>IF(D9&gt;0,"When soil temp is above 65 F","")</f>
        <v/>
      </c>
      <c r="J9" s="26" t="str">
        <f>IF(D9&gt;0,'Garden Data Entry'!$B$1+14,"")</f>
        <v/>
      </c>
      <c r="K9" s="37" t="str">
        <f>IF(D9&gt;0,"Varies greatly with climate","")</f>
        <v/>
      </c>
      <c r="L9" s="11" t="str">
        <f>IF(D9&gt;0,"Varies greatly with climate","")</f>
        <v/>
      </c>
    </row>
    <row r="10" spans="1:12" ht="29" customHeight="1">
      <c r="A10" s="8" t="s">
        <v>46</v>
      </c>
      <c r="B10" s="8" t="s">
        <v>203</v>
      </c>
      <c r="C10" s="8" t="s">
        <v>47</v>
      </c>
      <c r="D10" s="69"/>
      <c r="E10" s="69"/>
      <c r="F10" s="11">
        <f>(D10*E10*(Ref!D144))/16</f>
        <v>0</v>
      </c>
      <c r="G10" s="72">
        <v>0.1</v>
      </c>
      <c r="H10" s="11">
        <f t="shared" si="0"/>
        <v>0</v>
      </c>
      <c r="I10" s="37" t="str">
        <f>IF(D10&gt;0,"One planting in fall","")</f>
        <v/>
      </c>
      <c r="J10" s="37" t="str">
        <f>IF(D10&gt;0,"Not Recommended","")</f>
        <v/>
      </c>
      <c r="K10" s="11" t="str">
        <f>IF(D10&gt;0,"One planting in fall","")</f>
        <v/>
      </c>
      <c r="L10" s="11" t="str">
        <f>IF(D10&gt;0,"NA","")</f>
        <v/>
      </c>
    </row>
    <row r="11" spans="1:12" ht="37" customHeight="1">
      <c r="A11" s="8" t="s">
        <v>204</v>
      </c>
      <c r="B11" s="8" t="s">
        <v>202</v>
      </c>
      <c r="C11" s="8" t="s">
        <v>17</v>
      </c>
      <c r="D11" s="69"/>
      <c r="E11" s="69"/>
      <c r="F11" s="11">
        <f>(D11*E11*(Ref!D145))/16</f>
        <v>0</v>
      </c>
      <c r="G11" s="72">
        <v>0.8</v>
      </c>
      <c r="H11" s="11">
        <f t="shared" si="0"/>
        <v>0</v>
      </c>
      <c r="I11" s="37" t="str">
        <f>IF(D11&gt;0,'Garden Data Entry'!$B$1-42,"")</f>
        <v/>
      </c>
      <c r="J11" s="26" t="str">
        <f>IF(D11&gt;0,'Garden Data Entry'!$B$1-14,"")</f>
        <v/>
      </c>
      <c r="K11" s="37" t="str">
        <f>IF(D11&gt;0,"Variable depending on type","")</f>
        <v/>
      </c>
      <c r="L11" s="37" t="str">
        <f>IF(D11&gt;0,"Variable depending on type","")</f>
        <v/>
      </c>
    </row>
    <row r="12" spans="1:12" ht="35" customHeight="1">
      <c r="A12" s="8" t="s">
        <v>63</v>
      </c>
      <c r="B12" s="8" t="s">
        <v>202</v>
      </c>
      <c r="C12" s="8" t="s">
        <v>3</v>
      </c>
      <c r="D12" s="69"/>
      <c r="E12" s="69"/>
      <c r="F12" s="11">
        <f>(D12*E12*(Ref!D146))/16</f>
        <v>0</v>
      </c>
      <c r="G12" s="72">
        <v>0.75</v>
      </c>
      <c r="H12" s="11">
        <f t="shared" si="0"/>
        <v>0</v>
      </c>
      <c r="I12" s="37" t="str">
        <f>IF(D12&gt;0,"As early as soil can be worked","")</f>
        <v/>
      </c>
      <c r="J12" s="37" t="str">
        <f>IF(D12&gt;0,"Not Recommended","")</f>
        <v/>
      </c>
      <c r="K12" s="37" t="str">
        <f>IF(D12&gt;0,"One planting as early as possible","")</f>
        <v/>
      </c>
      <c r="L12" s="11" t="str">
        <f>IF(D12&gt;0,"Not Recommended","")</f>
        <v/>
      </c>
    </row>
    <row r="13" spans="1:12" ht="36" customHeight="1">
      <c r="A13" s="8" t="s">
        <v>68</v>
      </c>
      <c r="B13" s="8" t="s">
        <v>200</v>
      </c>
      <c r="C13" s="8" t="s">
        <v>205</v>
      </c>
      <c r="D13" s="69"/>
      <c r="E13" s="69"/>
      <c r="F13" s="11">
        <f>(D13*E13*(Ref!D147))/16</f>
        <v>0</v>
      </c>
      <c r="G13" s="72">
        <v>0.25</v>
      </c>
      <c r="H13" s="11">
        <f t="shared" si="0"/>
        <v>0</v>
      </c>
      <c r="I13" s="37" t="str">
        <f>IF(D13&gt;0,"As early as soil can be worked","")</f>
        <v/>
      </c>
      <c r="J13" s="26" t="str">
        <f>IF(D13&gt;0,'Garden Data Entry'!$B$1-28,"")</f>
        <v/>
      </c>
      <c r="K13" s="37" t="str">
        <f>IF(D13&gt;0,"Fall planting varies with climate","")</f>
        <v/>
      </c>
      <c r="L13" s="37" t="str">
        <f>IF(D13&gt;0,"Fall planting varies with climate","")</f>
        <v/>
      </c>
    </row>
    <row r="14" spans="1:12" ht="36" customHeight="1">
      <c r="A14" s="8" t="s">
        <v>76</v>
      </c>
      <c r="B14" s="8" t="s">
        <v>202</v>
      </c>
      <c r="C14" s="8" t="s">
        <v>77</v>
      </c>
      <c r="D14" s="69"/>
      <c r="E14" s="69"/>
      <c r="F14" s="11">
        <f>(D14*E14*(Ref!D148))/16</f>
        <v>0</v>
      </c>
      <c r="G14" s="72">
        <v>3</v>
      </c>
      <c r="H14" s="11">
        <f t="shared" si="0"/>
        <v>0</v>
      </c>
      <c r="I14" s="37" t="str">
        <f>IF(D14&gt;0,'Garden Data Entry'!$B$1-28,"")</f>
        <v/>
      </c>
      <c r="J14" s="37" t="str">
        <f>IF(D14&gt;0,"NA","")</f>
        <v/>
      </c>
      <c r="K14" s="37" t="str">
        <f>IF(D14&gt;0,"Generally one planting in spring","")</f>
        <v/>
      </c>
      <c r="L14" s="37" t="str">
        <f>IF(D14&gt;0,"Generally one planting in spring","")</f>
        <v/>
      </c>
    </row>
    <row r="15" spans="1:12" ht="29" customHeight="1">
      <c r="A15" s="8" t="s">
        <v>83</v>
      </c>
      <c r="B15" s="8" t="s">
        <v>202</v>
      </c>
      <c r="C15" s="8" t="s">
        <v>84</v>
      </c>
      <c r="D15" s="69"/>
      <c r="E15" s="69"/>
      <c r="F15" s="11">
        <f>(D15*E15*(Ref!D149))/16</f>
        <v>0</v>
      </c>
      <c r="G15" s="72">
        <v>1.5</v>
      </c>
      <c r="H15" s="11">
        <f t="shared" si="0"/>
        <v>0</v>
      </c>
      <c r="I15" s="37" t="str">
        <f>IF(D15&gt;0,"Best from fall planting","")</f>
        <v/>
      </c>
      <c r="J15" s="37" t="str">
        <f>IF(D15&gt;0,"Not Recommended","")</f>
        <v/>
      </c>
      <c r="K15" s="37" t="str">
        <f>IF(D15&gt;0,IF('Garden Data Entry'!$B$2-84&lt;I15,"NA",'Garden Data Entry'!$B$2-84),"")</f>
        <v/>
      </c>
      <c r="L15" s="11" t="str">
        <f>IF(D15&gt;0,"Not Recommended","")</f>
        <v/>
      </c>
    </row>
    <row r="16" spans="1:12" ht="33" customHeight="1">
      <c r="A16" s="8" t="s">
        <v>93</v>
      </c>
      <c r="B16" s="8" t="s">
        <v>203</v>
      </c>
      <c r="C16" s="8" t="s">
        <v>92</v>
      </c>
      <c r="D16" s="69"/>
      <c r="E16" s="69"/>
      <c r="F16" s="11">
        <f>(D16*E16*(Ref!D150))/16</f>
        <v>0</v>
      </c>
      <c r="G16" s="72">
        <v>1</v>
      </c>
      <c r="H16" s="11">
        <f t="shared" si="0"/>
        <v>0</v>
      </c>
      <c r="I16" s="37" t="str">
        <f>IF(D16&gt;0,"When soil temp reaches 70 F","")</f>
        <v/>
      </c>
      <c r="J16" s="26" t="str">
        <f>IF(D16&gt;0,'Garden Data Entry'!$B$1+14,"")</f>
        <v/>
      </c>
      <c r="K16" s="37" t="str">
        <f>IF(D16&gt;0,"Variable depending on type","")</f>
        <v/>
      </c>
      <c r="L16" s="37" t="str">
        <f>IF(D16&gt;0,"Variable depending on type","")</f>
        <v/>
      </c>
    </row>
    <row r="17" spans="1:12" ht="36" customHeight="1">
      <c r="A17" s="8" t="s">
        <v>91</v>
      </c>
      <c r="B17" s="8" t="s">
        <v>203</v>
      </c>
      <c r="C17" s="8" t="s">
        <v>92</v>
      </c>
      <c r="D17" s="69"/>
      <c r="E17" s="69"/>
      <c r="F17" s="11">
        <f>(D17*E17*(Ref!D151))/16</f>
        <v>0</v>
      </c>
      <c r="G17" s="72">
        <v>1</v>
      </c>
      <c r="H17" s="11">
        <f t="shared" si="0"/>
        <v>0</v>
      </c>
      <c r="I17" s="37" t="str">
        <f>IF(D17&gt;0,"When soil temp reaches 70 F","")</f>
        <v/>
      </c>
      <c r="J17" s="26" t="str">
        <f>IF(D17&gt;0,'Garden Data Entry'!$B$1+14,"")</f>
        <v/>
      </c>
      <c r="K17" s="37" t="str">
        <f>IF(D17&gt;0,"Variable depending on type","")</f>
        <v/>
      </c>
      <c r="L17" s="37" t="str">
        <f>IF(D17&gt;0,"Variable depending on type","")</f>
        <v/>
      </c>
    </row>
    <row r="18" spans="1:12" ht="39" customHeight="1">
      <c r="A18" s="8" t="s">
        <v>94</v>
      </c>
      <c r="B18" s="8" t="s">
        <v>203</v>
      </c>
      <c r="C18" s="8" t="s">
        <v>30</v>
      </c>
      <c r="D18" s="69"/>
      <c r="E18" s="69"/>
      <c r="F18" s="11">
        <f>(D18*E18*(Ref!D152))/16</f>
        <v>0</v>
      </c>
      <c r="G18" s="72">
        <v>2</v>
      </c>
      <c r="H18" s="11">
        <f t="shared" si="0"/>
        <v>0</v>
      </c>
      <c r="I18" s="37" t="str">
        <f>IF(D18&gt;0,"NA","")</f>
        <v/>
      </c>
      <c r="J18" s="37" t="str">
        <f>IF(D18&gt;0,"When soil temp reaches 60 degrees F","")</f>
        <v/>
      </c>
      <c r="K18" s="37" t="str">
        <f>IF(D18&gt;0,"Generally one planting in spring","")</f>
        <v/>
      </c>
      <c r="L18" s="37" t="str">
        <f>IF(D18&gt;0,"Generally one planting in spring","")</f>
        <v/>
      </c>
    </row>
    <row r="19" spans="1:12" ht="29" customHeight="1">
      <c r="A19" s="8" t="s">
        <v>99</v>
      </c>
      <c r="B19" s="8" t="s">
        <v>202</v>
      </c>
      <c r="C19" s="8" t="s">
        <v>101</v>
      </c>
      <c r="D19" s="69"/>
      <c r="E19" s="69"/>
      <c r="F19" s="11">
        <f>(D19*E19*(Ref!D153))/16</f>
        <v>0</v>
      </c>
      <c r="G19" s="72">
        <v>0.3</v>
      </c>
      <c r="H19" s="11">
        <f t="shared" si="0"/>
        <v>0</v>
      </c>
      <c r="I19" s="37" t="str">
        <f>IF(D19&gt;0,'Garden Data Entry'!$B$1-14,"")</f>
        <v/>
      </c>
      <c r="J19" s="37" t="str">
        <f>IF(D19&gt;0,"Not Recommended","")</f>
        <v/>
      </c>
      <c r="K19" s="37" t="str">
        <f>IF(D19&gt;0,IF('Garden Data Entry'!$B$2-49&lt;I19,"NA",'Garden Data Entry'!$B$2-49),"")</f>
        <v/>
      </c>
      <c r="L19" s="11" t="str">
        <f>IF(D19&gt;0,"Not Recommended","")</f>
        <v/>
      </c>
    </row>
    <row r="20" spans="1:12" ht="29" customHeight="1">
      <c r="A20" s="8"/>
      <c r="B20" s="8"/>
      <c r="C20" s="8"/>
      <c r="D20" s="70"/>
      <c r="E20" s="70"/>
      <c r="F20" s="8"/>
      <c r="G20" s="70"/>
      <c r="H20" s="8"/>
      <c r="I20" s="39"/>
      <c r="J20" s="8"/>
      <c r="K20" s="8"/>
      <c r="L20" s="8"/>
    </row>
    <row r="21" spans="1:12" ht="29" customHeight="1">
      <c r="A21" s="8"/>
      <c r="B21" s="8"/>
      <c r="C21" s="8"/>
      <c r="D21" s="70"/>
      <c r="E21" s="70"/>
      <c r="F21" s="8"/>
      <c r="G21" s="70"/>
      <c r="H21" s="8"/>
      <c r="I21" s="39"/>
      <c r="J21" s="8"/>
      <c r="K21" s="8"/>
      <c r="L21" s="8"/>
    </row>
    <row r="22" spans="1:12" ht="29" customHeight="1">
      <c r="A22" s="8"/>
      <c r="B22" s="8"/>
      <c r="C22" s="8"/>
      <c r="D22" s="70"/>
      <c r="E22" s="70"/>
      <c r="F22" s="8"/>
      <c r="G22" s="70"/>
      <c r="H22" s="8"/>
      <c r="I22" s="39"/>
      <c r="J22" s="8"/>
      <c r="K22" s="8"/>
      <c r="L22" s="8"/>
    </row>
    <row r="23" spans="1:12" ht="29" customHeight="1">
      <c r="A23" s="8"/>
      <c r="B23" s="8"/>
      <c r="C23" s="8"/>
      <c r="D23" s="70"/>
      <c r="E23" s="70"/>
      <c r="F23" s="8"/>
      <c r="G23" s="70"/>
      <c r="H23" s="8"/>
      <c r="I23" s="39"/>
      <c r="J23" s="8"/>
      <c r="K23" s="8"/>
      <c r="L23" s="8"/>
    </row>
    <row r="24" spans="1:12" ht="29" customHeight="1">
      <c r="A24" s="8"/>
      <c r="B24" s="8"/>
      <c r="C24" s="8"/>
      <c r="D24" s="70"/>
      <c r="E24" s="70"/>
      <c r="F24" s="8"/>
      <c r="G24" s="70"/>
      <c r="H24" s="8"/>
      <c r="I24" s="39"/>
      <c r="J24" s="8"/>
      <c r="K24" s="8"/>
      <c r="L24" s="8"/>
    </row>
  </sheetData>
  <sheetProtection sheet="1" objects="1" scenarios="1"/>
  <phoneticPr fontId="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pane ySplit="3" topLeftCell="A4" activePane="bottomLeft" state="frozen"/>
      <selection pane="bottomLeft" activeCell="D5" sqref="D5"/>
    </sheetView>
  </sheetViews>
  <sheetFormatPr baseColWidth="10" defaultRowHeight="22" customHeight="1" x14ac:dyDescent="0"/>
  <cols>
    <col min="1" max="1" width="13" style="17" customWidth="1"/>
    <col min="2" max="2" width="19" style="32" customWidth="1"/>
    <col min="3" max="3" width="25.6640625" style="12" customWidth="1"/>
    <col min="4" max="4" width="13.5" style="12" customWidth="1"/>
    <col min="5" max="5" width="16" style="12" customWidth="1"/>
    <col min="6" max="6" width="11" style="12" customWidth="1"/>
    <col min="7" max="7" width="11.83203125" style="12" customWidth="1"/>
    <col min="8" max="8" width="11.6640625" style="12" customWidth="1"/>
    <col min="9" max="16384" width="10.83203125" style="12"/>
  </cols>
  <sheetData>
    <row r="1" spans="1:8" ht="103" customHeight="1">
      <c r="A1" s="77" t="s">
        <v>333</v>
      </c>
      <c r="B1" s="77"/>
      <c r="C1" s="77"/>
      <c r="D1" s="77"/>
      <c r="E1" s="77"/>
      <c r="F1" s="77"/>
      <c r="G1" s="77"/>
      <c r="H1" s="77"/>
    </row>
    <row r="2" spans="1:8" ht="48" customHeight="1">
      <c r="A2" s="34" t="s">
        <v>315</v>
      </c>
      <c r="B2" s="73">
        <v>2015</v>
      </c>
    </row>
    <row r="3" spans="1:8" ht="66" customHeight="1">
      <c r="A3" s="35" t="s">
        <v>317</v>
      </c>
      <c r="B3" s="33" t="s">
        <v>192</v>
      </c>
      <c r="C3" s="10" t="s">
        <v>318</v>
      </c>
      <c r="D3" s="10" t="s">
        <v>319</v>
      </c>
      <c r="E3" s="10" t="s">
        <v>320</v>
      </c>
      <c r="F3" s="10" t="s">
        <v>321</v>
      </c>
      <c r="G3" s="10" t="s">
        <v>216</v>
      </c>
      <c r="H3" s="10" t="s">
        <v>314</v>
      </c>
    </row>
    <row r="4" spans="1:8" ht="22" customHeight="1">
      <c r="A4" s="36">
        <f>MAX(DATE($B$2,1,1),DATE($B$2,1,1)-WEEKDAY(DATE($B$2,1,1),2)+(Ref!A156)*7+1)</f>
        <v>42009</v>
      </c>
    </row>
    <row r="5" spans="1:8" ht="22" customHeight="1">
      <c r="A5" s="36">
        <f>MAX(DATE($B$2,1,1),DATE($B$2,1,1)-WEEKDAY(DATE($B$2,1,1),2)+(Ref!A157)*7+1)</f>
        <v>42016</v>
      </c>
    </row>
    <row r="6" spans="1:8" ht="22" customHeight="1">
      <c r="A6" s="36">
        <f>MAX(DATE($B$2,1,1),DATE($B$2,1,1)-WEEKDAY(DATE($B$2,1,1),2)+(Ref!A158)*7+1)</f>
        <v>42023</v>
      </c>
    </row>
    <row r="7" spans="1:8" ht="22" customHeight="1">
      <c r="A7" s="36">
        <f>MAX(DATE($B$2,1,1),DATE($B$2,1,1)-WEEKDAY(DATE($B$2,1,1),2)+(Ref!A159)*7+1)</f>
        <v>42030</v>
      </c>
    </row>
    <row r="8" spans="1:8" ht="22" customHeight="1">
      <c r="A8" s="36">
        <f>MAX(DATE($B$2,1,1),DATE($B$2,1,1)-WEEKDAY(DATE($B$2,1,1),2)+(Ref!A160)*7+1)</f>
        <v>42037</v>
      </c>
    </row>
    <row r="9" spans="1:8" ht="22" customHeight="1">
      <c r="A9" s="36">
        <f>MAX(DATE($B$2,1,1),DATE($B$2,1,1)-WEEKDAY(DATE($B$2,1,1),2)+(Ref!A161)*7+1)</f>
        <v>42044</v>
      </c>
    </row>
    <row r="10" spans="1:8" ht="22" customHeight="1">
      <c r="A10" s="36">
        <f>MAX(DATE($B$2,1,1),DATE($B$2,1,1)-WEEKDAY(DATE($B$2,1,1),2)+(Ref!A162)*7+1)</f>
        <v>42051</v>
      </c>
    </row>
    <row r="11" spans="1:8" ht="22" customHeight="1">
      <c r="A11" s="36">
        <f>MAX(DATE($B$2,1,1),DATE($B$2,1,1)-WEEKDAY(DATE($B$2,1,1),2)+(Ref!A163)*7+1)</f>
        <v>42058</v>
      </c>
    </row>
    <row r="12" spans="1:8" ht="22" customHeight="1">
      <c r="A12" s="36">
        <f>MAX(DATE($B$2,1,1),DATE($B$2,1,1)-WEEKDAY(DATE($B$2,1,1),2)+(Ref!A164)*7+1)</f>
        <v>42065</v>
      </c>
    </row>
    <row r="13" spans="1:8" ht="22" customHeight="1">
      <c r="A13" s="36">
        <f>MAX(DATE($B$2,1,1),DATE($B$2,1,1)-WEEKDAY(DATE($B$2,1,1),2)+(Ref!A165)*7+1)</f>
        <v>42072</v>
      </c>
    </row>
    <row r="14" spans="1:8" ht="22" customHeight="1">
      <c r="A14" s="36">
        <f>MAX(DATE($B$2,1,1),DATE($B$2,1,1)-WEEKDAY(DATE($B$2,1,1),2)+(Ref!A166)*7+1)</f>
        <v>42079</v>
      </c>
    </row>
    <row r="15" spans="1:8" ht="22" customHeight="1">
      <c r="A15" s="36">
        <f>MAX(DATE($B$2,1,1),DATE($B$2,1,1)-WEEKDAY(DATE($B$2,1,1),2)+(Ref!A167)*7+1)</f>
        <v>42086</v>
      </c>
    </row>
    <row r="16" spans="1:8" ht="22" customHeight="1">
      <c r="A16" s="36">
        <f>MAX(DATE($B$2,1,1),DATE($B$2,1,1)-WEEKDAY(DATE($B$2,1,1),2)+(Ref!A168)*7+1)</f>
        <v>42093</v>
      </c>
    </row>
    <row r="17" spans="1:1" ht="22" customHeight="1">
      <c r="A17" s="36">
        <f>MAX(DATE($B$2,1,1),DATE($B$2,1,1)-WEEKDAY(DATE($B$2,1,1),2)+(Ref!A169)*7+1)</f>
        <v>42100</v>
      </c>
    </row>
    <row r="18" spans="1:1" ht="22" customHeight="1">
      <c r="A18" s="36">
        <f>MAX(DATE($B$2,1,1),DATE($B$2,1,1)-WEEKDAY(DATE($B$2,1,1),2)+(Ref!A170)*7+1)</f>
        <v>42107</v>
      </c>
    </row>
    <row r="19" spans="1:1" ht="22" customHeight="1">
      <c r="A19" s="36">
        <f>MAX(DATE($B$2,1,1),DATE($B$2,1,1)-WEEKDAY(DATE($B$2,1,1),2)+(Ref!A171)*7+1)</f>
        <v>42114</v>
      </c>
    </row>
    <row r="20" spans="1:1" ht="22" customHeight="1">
      <c r="A20" s="36">
        <f>MAX(DATE($B$2,1,1),DATE($B$2,1,1)-WEEKDAY(DATE($B$2,1,1),2)+(Ref!A172)*7+1)</f>
        <v>42121</v>
      </c>
    </row>
    <row r="21" spans="1:1" ht="22" customHeight="1">
      <c r="A21" s="36">
        <f>MAX(DATE($B$2,1,1),DATE($B$2,1,1)-WEEKDAY(DATE($B$2,1,1),2)+(Ref!A173)*7+1)</f>
        <v>42128</v>
      </c>
    </row>
    <row r="22" spans="1:1" ht="22" customHeight="1">
      <c r="A22" s="36">
        <f>MAX(DATE($B$2,1,1),DATE($B$2,1,1)-WEEKDAY(DATE($B$2,1,1),2)+(Ref!A174)*7+1)</f>
        <v>42135</v>
      </c>
    </row>
    <row r="23" spans="1:1" ht="22" customHeight="1">
      <c r="A23" s="36">
        <f>MAX(DATE($B$2,1,1),DATE($B$2,1,1)-WEEKDAY(DATE($B$2,1,1),2)+(Ref!A175)*7+1)</f>
        <v>42142</v>
      </c>
    </row>
    <row r="24" spans="1:1" ht="22" customHeight="1">
      <c r="A24" s="36">
        <f>MAX(DATE($B$2,1,1),DATE($B$2,1,1)-WEEKDAY(DATE($B$2,1,1),2)+(Ref!A176)*7+1)</f>
        <v>42149</v>
      </c>
    </row>
    <row r="25" spans="1:1" ht="22" customHeight="1">
      <c r="A25" s="36">
        <f>MAX(DATE($B$2,1,1),DATE($B$2,1,1)-WEEKDAY(DATE($B$2,1,1),2)+(Ref!A177)*7+1)</f>
        <v>42156</v>
      </c>
    </row>
    <row r="26" spans="1:1" ht="22" customHeight="1">
      <c r="A26" s="36">
        <f>MAX(DATE($B$2,1,1),DATE($B$2,1,1)-WEEKDAY(DATE($B$2,1,1),2)+(Ref!A178)*7+1)</f>
        <v>42163</v>
      </c>
    </row>
    <row r="27" spans="1:1" ht="22" customHeight="1">
      <c r="A27" s="36">
        <f>MAX(DATE($B$2,1,1),DATE($B$2,1,1)-WEEKDAY(DATE($B$2,1,1),2)+(Ref!A179)*7+1)</f>
        <v>42170</v>
      </c>
    </row>
    <row r="28" spans="1:1" ht="22" customHeight="1">
      <c r="A28" s="36">
        <f>MAX(DATE($B$2,1,1),DATE($B$2,1,1)-WEEKDAY(DATE($B$2,1,1),2)+(Ref!A180)*7+1)</f>
        <v>42177</v>
      </c>
    </row>
    <row r="29" spans="1:1" ht="22" customHeight="1">
      <c r="A29" s="36">
        <f>MAX(DATE($B$2,1,1),DATE($B$2,1,1)-WEEKDAY(DATE($B$2,1,1),2)+(Ref!A181)*7+1)</f>
        <v>42184</v>
      </c>
    </row>
    <row r="30" spans="1:1" ht="22" customHeight="1">
      <c r="A30" s="36">
        <f>MAX(DATE($B$2,1,1),DATE($B$2,1,1)-WEEKDAY(DATE($B$2,1,1),2)+(Ref!A182)*7+1)</f>
        <v>42191</v>
      </c>
    </row>
    <row r="31" spans="1:1" ht="22" customHeight="1">
      <c r="A31" s="36">
        <f>MAX(DATE($B$2,1,1),DATE($B$2,1,1)-WEEKDAY(DATE($B$2,1,1),2)+(Ref!A183)*7+1)</f>
        <v>42198</v>
      </c>
    </row>
    <row r="32" spans="1:1" ht="22" customHeight="1">
      <c r="A32" s="36">
        <f>MAX(DATE($B$2,1,1),DATE($B$2,1,1)-WEEKDAY(DATE($B$2,1,1),2)+(Ref!A184)*7+1)</f>
        <v>42205</v>
      </c>
    </row>
    <row r="33" spans="1:1" ht="22" customHeight="1">
      <c r="A33" s="36">
        <f>MAX(DATE($B$2,1,1),DATE($B$2,1,1)-WEEKDAY(DATE($B$2,1,1),2)+(Ref!A185)*7+1)</f>
        <v>42212</v>
      </c>
    </row>
    <row r="34" spans="1:1" ht="22" customHeight="1">
      <c r="A34" s="36">
        <f>MAX(DATE($B$2,1,1),DATE($B$2,1,1)-WEEKDAY(DATE($B$2,1,1),2)+(Ref!A186)*7+1)</f>
        <v>42219</v>
      </c>
    </row>
    <row r="35" spans="1:1" ht="22" customHeight="1">
      <c r="A35" s="36">
        <f>MAX(DATE($B$2,1,1),DATE($B$2,1,1)-WEEKDAY(DATE($B$2,1,1),2)+(Ref!A187)*7+1)</f>
        <v>42226</v>
      </c>
    </row>
    <row r="36" spans="1:1" ht="22" customHeight="1">
      <c r="A36" s="36">
        <f>MAX(DATE($B$2,1,1),DATE($B$2,1,1)-WEEKDAY(DATE($B$2,1,1),2)+(Ref!A188)*7+1)</f>
        <v>42233</v>
      </c>
    </row>
    <row r="37" spans="1:1" ht="22" customHeight="1">
      <c r="A37" s="36">
        <f>MAX(DATE($B$2,1,1),DATE($B$2,1,1)-WEEKDAY(DATE($B$2,1,1),2)+(Ref!A189)*7+1)</f>
        <v>42240</v>
      </c>
    </row>
    <row r="38" spans="1:1" ht="22" customHeight="1">
      <c r="A38" s="36">
        <f>MAX(DATE($B$2,1,1),DATE($B$2,1,1)-WEEKDAY(DATE($B$2,1,1),2)+(Ref!A190)*7+1)</f>
        <v>42247</v>
      </c>
    </row>
    <row r="39" spans="1:1" ht="22" customHeight="1">
      <c r="A39" s="36">
        <f>MAX(DATE($B$2,1,1),DATE($B$2,1,1)-WEEKDAY(DATE($B$2,1,1),2)+(Ref!A191)*7+1)</f>
        <v>42254</v>
      </c>
    </row>
    <row r="40" spans="1:1" ht="22" customHeight="1">
      <c r="A40" s="36">
        <f>MAX(DATE($B$2,1,1),DATE($B$2,1,1)-WEEKDAY(DATE($B$2,1,1),2)+(Ref!A192)*7+1)</f>
        <v>42261</v>
      </c>
    </row>
    <row r="41" spans="1:1" ht="22" customHeight="1">
      <c r="A41" s="36">
        <f>MAX(DATE($B$2,1,1),DATE($B$2,1,1)-WEEKDAY(DATE($B$2,1,1),2)+(Ref!A193)*7+1)</f>
        <v>42268</v>
      </c>
    </row>
    <row r="42" spans="1:1" ht="22" customHeight="1">
      <c r="A42" s="36">
        <f>MAX(DATE($B$2,1,1),DATE($B$2,1,1)-WEEKDAY(DATE($B$2,1,1),2)+(Ref!A194)*7+1)</f>
        <v>42275</v>
      </c>
    </row>
    <row r="43" spans="1:1" ht="22" customHeight="1">
      <c r="A43" s="36">
        <f>MAX(DATE($B$2,1,1),DATE($B$2,1,1)-WEEKDAY(DATE($B$2,1,1),2)+(Ref!A195)*7+1)</f>
        <v>42282</v>
      </c>
    </row>
    <row r="44" spans="1:1" ht="22" customHeight="1">
      <c r="A44" s="36">
        <f>MAX(DATE($B$2,1,1),DATE($B$2,1,1)-WEEKDAY(DATE($B$2,1,1),2)+(Ref!A196)*7+1)</f>
        <v>42289</v>
      </c>
    </row>
    <row r="45" spans="1:1" ht="22" customHeight="1">
      <c r="A45" s="36">
        <f>MAX(DATE($B$2,1,1),DATE($B$2,1,1)-WEEKDAY(DATE($B$2,1,1),2)+(Ref!A197)*7+1)</f>
        <v>42296</v>
      </c>
    </row>
    <row r="46" spans="1:1" ht="22" customHeight="1">
      <c r="A46" s="36">
        <f>MAX(DATE($B$2,1,1),DATE($B$2,1,1)-WEEKDAY(DATE($B$2,1,1),2)+(Ref!A198)*7+1)</f>
        <v>42303</v>
      </c>
    </row>
    <row r="47" spans="1:1" ht="22" customHeight="1">
      <c r="A47" s="36">
        <f>MAX(DATE($B$2,1,1),DATE($B$2,1,1)-WEEKDAY(DATE($B$2,1,1),2)+(Ref!A199)*7+1)</f>
        <v>42310</v>
      </c>
    </row>
    <row r="48" spans="1:1" ht="22" customHeight="1">
      <c r="A48" s="36">
        <f>MAX(DATE($B$2,1,1),DATE($B$2,1,1)-WEEKDAY(DATE($B$2,1,1),2)+(Ref!A200)*7+1)</f>
        <v>42317</v>
      </c>
    </row>
    <row r="49" spans="1:1" ht="22" customHeight="1">
      <c r="A49" s="36">
        <f>MAX(DATE($B$2,1,1),DATE($B$2,1,1)-WEEKDAY(DATE($B$2,1,1),2)+(Ref!A201)*7+1)</f>
        <v>42324</v>
      </c>
    </row>
    <row r="50" spans="1:1" ht="22" customHeight="1">
      <c r="A50" s="36">
        <f>MAX(DATE($B$2,1,1),DATE($B$2,1,1)-WEEKDAY(DATE($B$2,1,1),2)+(Ref!A202)*7+1)</f>
        <v>42331</v>
      </c>
    </row>
    <row r="51" spans="1:1" ht="22" customHeight="1">
      <c r="A51" s="36">
        <f>MAX(DATE($B$2,1,1),DATE($B$2,1,1)-WEEKDAY(DATE($B$2,1,1),2)+(Ref!A203)*7+1)</f>
        <v>42338</v>
      </c>
    </row>
    <row r="52" spans="1:1" ht="22" customHeight="1">
      <c r="A52" s="36">
        <f>MAX(DATE($B$2,1,1),DATE($B$2,1,1)-WEEKDAY(DATE($B$2,1,1),2)+(Ref!A204)*7+1)</f>
        <v>42345</v>
      </c>
    </row>
    <row r="53" spans="1:1" ht="22" customHeight="1">
      <c r="A53" s="36">
        <f>MAX(DATE($B$2,1,1),DATE($B$2,1,1)-WEEKDAY(DATE($B$2,1,1),2)+(Ref!A205)*7+1)</f>
        <v>42352</v>
      </c>
    </row>
    <row r="54" spans="1:1" ht="22" customHeight="1">
      <c r="A54" s="36">
        <f>MAX(DATE($B$2,1,1),DATE($B$2,1,1)-WEEKDAY(DATE($B$2,1,1),2)+(Ref!A206)*7+1)</f>
        <v>42359</v>
      </c>
    </row>
    <row r="55" spans="1:1" ht="22" customHeight="1">
      <c r="A55" s="36">
        <f>MAX(DATE($B$2,1,1),DATE($B$2,1,1)-WEEKDAY(DATE($B$2,1,1),2)+(Ref!A207)*7+1)</f>
        <v>42366</v>
      </c>
    </row>
    <row r="56" spans="1:1" ht="22" customHeight="1">
      <c r="A56" s="36"/>
    </row>
  </sheetData>
  <sheetProtection sheet="1" scenarios="1" formatCells="0" formatColumns="0"/>
  <mergeCells count="1">
    <mergeCell ref="A1:H1"/>
  </mergeCells>
  <phoneticPr fontId="5" type="noConversion"/>
  <printOptions gridLines="1"/>
  <pageMargins left="0.25" right="0.2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165" workbookViewId="0">
      <selection activeCell="D192" sqref="D192"/>
    </sheetView>
  </sheetViews>
  <sheetFormatPr baseColWidth="10" defaultRowHeight="18" customHeight="1" x14ac:dyDescent="0"/>
  <cols>
    <col min="1" max="1" width="23.83203125" customWidth="1"/>
    <col min="2" max="2" width="28.6640625" customWidth="1"/>
    <col min="3" max="3" width="16.5" customWidth="1"/>
    <col min="4" max="4" width="15.6640625" customWidth="1"/>
    <col min="5" max="5" width="21.33203125" customWidth="1"/>
  </cols>
  <sheetData>
    <row r="1" spans="1:6" ht="58" customHeight="1">
      <c r="A1" s="1" t="s">
        <v>0</v>
      </c>
      <c r="B1" s="1" t="s">
        <v>1</v>
      </c>
      <c r="C1" s="4" t="s">
        <v>187</v>
      </c>
      <c r="D1" s="4" t="s">
        <v>300</v>
      </c>
      <c r="E1" s="4" t="s">
        <v>302</v>
      </c>
      <c r="F1" s="4" t="s">
        <v>303</v>
      </c>
    </row>
    <row r="2" spans="1:6" ht="18" customHeight="1">
      <c r="A2" s="2" t="s">
        <v>2</v>
      </c>
      <c r="B2" s="2" t="s">
        <v>3</v>
      </c>
      <c r="C2">
        <v>4</v>
      </c>
      <c r="D2" t="s">
        <v>301</v>
      </c>
      <c r="E2">
        <v>30</v>
      </c>
      <c r="F2" t="s">
        <v>304</v>
      </c>
    </row>
    <row r="3" spans="1:6" ht="18" customHeight="1">
      <c r="A3" s="2" t="s">
        <v>4</v>
      </c>
      <c r="B3" s="2" t="s">
        <v>5</v>
      </c>
      <c r="C3">
        <v>1</v>
      </c>
      <c r="D3">
        <v>49</v>
      </c>
      <c r="E3">
        <v>2</v>
      </c>
    </row>
    <row r="4" spans="1:6" ht="18" customHeight="1">
      <c r="A4" s="2" t="s">
        <v>6</v>
      </c>
      <c r="B4" s="2" t="s">
        <v>7</v>
      </c>
      <c r="C4">
        <v>4</v>
      </c>
      <c r="D4">
        <v>21</v>
      </c>
      <c r="E4">
        <v>6</v>
      </c>
    </row>
    <row r="5" spans="1:6" ht="18" customHeight="1">
      <c r="A5" s="2" t="s">
        <v>8</v>
      </c>
      <c r="B5" s="2" t="s">
        <v>9</v>
      </c>
      <c r="C5">
        <v>8</v>
      </c>
      <c r="D5">
        <v>21</v>
      </c>
      <c r="E5">
        <v>3</v>
      </c>
    </row>
    <row r="6" spans="1:6" ht="18" customHeight="1">
      <c r="A6" s="2" t="s">
        <v>10</v>
      </c>
      <c r="B6" s="2" t="s">
        <v>11</v>
      </c>
      <c r="C6">
        <v>8</v>
      </c>
      <c r="D6">
        <v>21</v>
      </c>
      <c r="E6">
        <v>4</v>
      </c>
    </row>
    <row r="7" spans="1:6" ht="18" customHeight="1">
      <c r="A7" s="2" t="s">
        <v>282</v>
      </c>
      <c r="B7" s="2" t="s">
        <v>13</v>
      </c>
      <c r="C7">
        <v>3.8</v>
      </c>
      <c r="D7">
        <v>21</v>
      </c>
      <c r="E7">
        <v>4</v>
      </c>
    </row>
    <row r="8" spans="1:6" ht="18" customHeight="1">
      <c r="A8" s="2" t="s">
        <v>283</v>
      </c>
      <c r="B8" s="2" t="s">
        <v>13</v>
      </c>
      <c r="C8">
        <v>3.8</v>
      </c>
      <c r="D8">
        <v>21</v>
      </c>
      <c r="E8">
        <v>4</v>
      </c>
    </row>
    <row r="9" spans="1:6" ht="18" customHeight="1">
      <c r="A9" s="2" t="s">
        <v>14</v>
      </c>
      <c r="B9" s="2" t="s">
        <v>9</v>
      </c>
      <c r="C9">
        <v>8</v>
      </c>
      <c r="D9">
        <v>21</v>
      </c>
      <c r="E9">
        <v>4</v>
      </c>
    </row>
    <row r="10" spans="1:6" ht="18" customHeight="1">
      <c r="A10" s="2" t="s">
        <v>16</v>
      </c>
      <c r="B10" s="2" t="s">
        <v>17</v>
      </c>
      <c r="C10">
        <v>3</v>
      </c>
      <c r="D10" t="s">
        <v>301</v>
      </c>
      <c r="E10">
        <v>3</v>
      </c>
      <c r="F10" t="s">
        <v>304</v>
      </c>
    </row>
    <row r="11" spans="1:6" ht="18" customHeight="1">
      <c r="A11" s="2" t="s">
        <v>18</v>
      </c>
      <c r="B11" s="2" t="s">
        <v>19</v>
      </c>
      <c r="C11">
        <v>2.4</v>
      </c>
      <c r="D11">
        <v>28</v>
      </c>
      <c r="E11">
        <v>0.67</v>
      </c>
    </row>
    <row r="12" spans="1:6" ht="18" customHeight="1">
      <c r="A12" s="2" t="s">
        <v>20</v>
      </c>
      <c r="B12" s="2" t="s">
        <v>21</v>
      </c>
      <c r="C12">
        <v>4</v>
      </c>
      <c r="D12">
        <v>28</v>
      </c>
      <c r="E12">
        <v>0.67</v>
      </c>
    </row>
    <row r="13" spans="1:6" ht="18" customHeight="1">
      <c r="A13" s="2" t="s">
        <v>22</v>
      </c>
      <c r="B13" s="2" t="s">
        <v>23</v>
      </c>
      <c r="C13">
        <v>3</v>
      </c>
      <c r="D13">
        <v>28</v>
      </c>
      <c r="E13">
        <v>0.67</v>
      </c>
    </row>
    <row r="14" spans="1:6" ht="18" customHeight="1">
      <c r="A14" s="2" t="s">
        <v>24</v>
      </c>
      <c r="B14" s="2" t="s">
        <v>23</v>
      </c>
      <c r="C14">
        <v>3</v>
      </c>
      <c r="D14">
        <v>28</v>
      </c>
      <c r="E14">
        <v>1</v>
      </c>
    </row>
    <row r="15" spans="1:6" ht="18" customHeight="1">
      <c r="A15" s="2" t="s">
        <v>25</v>
      </c>
      <c r="B15" s="2" t="s">
        <v>26</v>
      </c>
      <c r="C15">
        <v>2.2000000000000002</v>
      </c>
      <c r="D15" t="s">
        <v>301</v>
      </c>
      <c r="E15">
        <v>6</v>
      </c>
      <c r="F15" t="s">
        <v>304</v>
      </c>
    </row>
    <row r="16" spans="1:6" ht="18" customHeight="1">
      <c r="A16" s="2" t="s">
        <v>27</v>
      </c>
      <c r="B16" s="2" t="s">
        <v>28</v>
      </c>
      <c r="C16">
        <v>2</v>
      </c>
      <c r="D16">
        <v>28</v>
      </c>
      <c r="E16">
        <v>0.67</v>
      </c>
    </row>
    <row r="17" spans="1:6" ht="18" customHeight="1">
      <c r="A17" s="2" t="s">
        <v>29</v>
      </c>
      <c r="B17" s="2" t="s">
        <v>30</v>
      </c>
      <c r="C17">
        <v>2.5</v>
      </c>
      <c r="D17">
        <v>70</v>
      </c>
      <c r="E17">
        <v>1.5</v>
      </c>
    </row>
    <row r="18" spans="1:6" ht="18" customHeight="1">
      <c r="A18" s="2" t="s">
        <v>31</v>
      </c>
      <c r="B18" s="2" t="s">
        <v>28</v>
      </c>
      <c r="C18">
        <v>2</v>
      </c>
      <c r="D18">
        <v>70</v>
      </c>
      <c r="E18">
        <v>1</v>
      </c>
    </row>
    <row r="19" spans="1:6" ht="18" customHeight="1">
      <c r="A19" s="2" t="s">
        <v>32</v>
      </c>
      <c r="B19" s="2" t="s">
        <v>33</v>
      </c>
      <c r="C19">
        <v>8</v>
      </c>
      <c r="D19">
        <v>35</v>
      </c>
      <c r="E19">
        <v>1</v>
      </c>
    </row>
    <row r="20" spans="1:6" ht="18" customHeight="1">
      <c r="A20" s="2" t="s">
        <v>34</v>
      </c>
      <c r="B20" s="2" t="s">
        <v>35</v>
      </c>
      <c r="C20">
        <v>0.5</v>
      </c>
      <c r="D20" t="s">
        <v>301</v>
      </c>
      <c r="E20">
        <v>12</v>
      </c>
      <c r="F20" t="s">
        <v>304</v>
      </c>
    </row>
    <row r="21" spans="1:6" ht="18" customHeight="1">
      <c r="A21" s="2" t="s">
        <v>36</v>
      </c>
      <c r="B21" s="2" t="s">
        <v>37</v>
      </c>
      <c r="C21">
        <v>2.2000000000000002</v>
      </c>
      <c r="D21">
        <v>21</v>
      </c>
      <c r="E21">
        <v>1.5</v>
      </c>
    </row>
    <row r="22" spans="1:6" ht="18" customHeight="1">
      <c r="A22" s="2" t="s">
        <v>38</v>
      </c>
      <c r="B22" s="2" t="s">
        <v>33</v>
      </c>
      <c r="C22">
        <v>8</v>
      </c>
      <c r="D22">
        <v>28</v>
      </c>
      <c r="E22">
        <v>1</v>
      </c>
    </row>
    <row r="23" spans="1:6" ht="18" customHeight="1">
      <c r="A23" s="2" t="s">
        <v>39</v>
      </c>
      <c r="B23" s="2" t="s">
        <v>40</v>
      </c>
      <c r="C23">
        <v>8</v>
      </c>
      <c r="D23">
        <v>21</v>
      </c>
      <c r="E23">
        <v>1</v>
      </c>
    </row>
    <row r="24" spans="1:6" ht="18" customHeight="1">
      <c r="A24" s="2" t="s">
        <v>41</v>
      </c>
      <c r="B24" s="2" t="s">
        <v>35</v>
      </c>
      <c r="C24">
        <v>0.5</v>
      </c>
      <c r="D24">
        <v>28</v>
      </c>
      <c r="E24">
        <v>1.33</v>
      </c>
    </row>
    <row r="25" spans="1:6" ht="18" customHeight="1">
      <c r="A25" s="2" t="s">
        <v>42</v>
      </c>
      <c r="B25" s="2" t="s">
        <v>23</v>
      </c>
      <c r="C25">
        <v>3</v>
      </c>
      <c r="D25">
        <v>56</v>
      </c>
      <c r="E25">
        <v>1</v>
      </c>
    </row>
    <row r="26" spans="1:6" ht="18" customHeight="1">
      <c r="A26" s="2" t="s">
        <v>43</v>
      </c>
      <c r="B26" s="2" t="s">
        <v>44</v>
      </c>
      <c r="C26">
        <v>1.7</v>
      </c>
      <c r="D26">
        <v>28</v>
      </c>
      <c r="E26">
        <v>1.5</v>
      </c>
    </row>
    <row r="27" spans="1:6" ht="18" customHeight="1">
      <c r="A27" s="2" t="s">
        <v>45</v>
      </c>
      <c r="B27" s="2" t="s">
        <v>23</v>
      </c>
      <c r="C27">
        <v>3</v>
      </c>
      <c r="D27">
        <v>35</v>
      </c>
      <c r="E27">
        <v>2</v>
      </c>
    </row>
    <row r="28" spans="1:6" ht="18" customHeight="1">
      <c r="A28" s="2" t="s">
        <v>46</v>
      </c>
      <c r="B28" s="2" t="s">
        <v>47</v>
      </c>
      <c r="C28">
        <v>0.2</v>
      </c>
      <c r="D28" t="s">
        <v>301</v>
      </c>
      <c r="E28">
        <v>2</v>
      </c>
      <c r="F28" t="s">
        <v>304</v>
      </c>
    </row>
    <row r="29" spans="1:6" ht="18" customHeight="1">
      <c r="A29" s="2" t="s">
        <v>48</v>
      </c>
      <c r="B29" s="2" t="s">
        <v>33</v>
      </c>
      <c r="C29">
        <v>8</v>
      </c>
      <c r="D29">
        <v>28</v>
      </c>
      <c r="E29">
        <v>1</v>
      </c>
    </row>
    <row r="30" spans="1:6" ht="18" customHeight="1">
      <c r="A30" s="2" t="s">
        <v>49</v>
      </c>
      <c r="B30" s="2" t="s">
        <v>50</v>
      </c>
      <c r="C30">
        <v>4</v>
      </c>
      <c r="D30">
        <v>28</v>
      </c>
      <c r="E30">
        <v>2</v>
      </c>
    </row>
    <row r="31" spans="1:6" ht="18" customHeight="1">
      <c r="A31" s="2" t="s">
        <v>51</v>
      </c>
      <c r="B31" s="2" t="s">
        <v>52</v>
      </c>
      <c r="C31">
        <v>8</v>
      </c>
      <c r="D31">
        <v>49</v>
      </c>
      <c r="E31">
        <v>2</v>
      </c>
    </row>
    <row r="32" spans="1:6" ht="18" customHeight="1">
      <c r="A32" s="2" t="s">
        <v>53</v>
      </c>
      <c r="B32" s="2" t="s">
        <v>54</v>
      </c>
      <c r="C32">
        <v>4</v>
      </c>
      <c r="D32">
        <v>28</v>
      </c>
      <c r="E32">
        <v>1.5</v>
      </c>
    </row>
    <row r="33" spans="1:6" ht="18" customHeight="1">
      <c r="A33" s="2" t="s">
        <v>55</v>
      </c>
      <c r="B33" s="2" t="s">
        <v>3</v>
      </c>
      <c r="C33">
        <v>4</v>
      </c>
      <c r="D33" t="s">
        <v>301</v>
      </c>
      <c r="E33">
        <v>30</v>
      </c>
    </row>
    <row r="34" spans="1:6" ht="18" customHeight="1">
      <c r="A34" s="2" t="s">
        <v>56</v>
      </c>
      <c r="B34" s="2" t="s">
        <v>3</v>
      </c>
      <c r="C34">
        <v>4</v>
      </c>
      <c r="D34">
        <v>35</v>
      </c>
      <c r="E34">
        <v>12</v>
      </c>
    </row>
    <row r="35" spans="1:6" ht="18" customHeight="1">
      <c r="A35" s="2" t="s">
        <v>57</v>
      </c>
      <c r="B35" s="2" t="s">
        <v>17</v>
      </c>
      <c r="C35">
        <v>3</v>
      </c>
      <c r="D35">
        <v>28</v>
      </c>
      <c r="E35">
        <v>0.33</v>
      </c>
    </row>
    <row r="36" spans="1:6" ht="18" customHeight="1">
      <c r="A36" s="2" t="s">
        <v>58</v>
      </c>
      <c r="B36" s="2" t="s">
        <v>33</v>
      </c>
      <c r="C36">
        <v>8</v>
      </c>
      <c r="D36">
        <v>28</v>
      </c>
      <c r="E36">
        <v>12</v>
      </c>
    </row>
    <row r="37" spans="1:6" ht="18" customHeight="1">
      <c r="A37" s="2" t="s">
        <v>59</v>
      </c>
      <c r="B37" s="2" t="s">
        <v>60</v>
      </c>
      <c r="C37">
        <v>3.5</v>
      </c>
      <c r="D37">
        <v>28</v>
      </c>
      <c r="E37">
        <v>0.67</v>
      </c>
    </row>
    <row r="38" spans="1:6" ht="18" customHeight="1">
      <c r="A38" s="2" t="s">
        <v>61</v>
      </c>
      <c r="B38" s="2" t="s">
        <v>17</v>
      </c>
      <c r="C38">
        <v>3</v>
      </c>
      <c r="D38">
        <v>63</v>
      </c>
      <c r="E38">
        <v>2</v>
      </c>
    </row>
    <row r="39" spans="1:6" ht="18" customHeight="1">
      <c r="A39" s="2" t="s">
        <v>62</v>
      </c>
      <c r="B39" s="2" t="s">
        <v>35</v>
      </c>
      <c r="C39">
        <v>0.5</v>
      </c>
      <c r="D39">
        <v>49</v>
      </c>
      <c r="E39">
        <v>1.5</v>
      </c>
    </row>
    <row r="40" spans="1:6" ht="18" customHeight="1">
      <c r="A40" s="2" t="s">
        <v>63</v>
      </c>
      <c r="B40" s="2" t="s">
        <v>3</v>
      </c>
      <c r="C40">
        <v>4</v>
      </c>
      <c r="D40" t="s">
        <v>301</v>
      </c>
      <c r="E40">
        <v>6</v>
      </c>
      <c r="F40" t="s">
        <v>304</v>
      </c>
    </row>
    <row r="41" spans="1:6" ht="18" customHeight="1">
      <c r="A41" s="2" t="s">
        <v>64</v>
      </c>
      <c r="B41" s="2" t="s">
        <v>65</v>
      </c>
      <c r="C41">
        <v>5</v>
      </c>
      <c r="D41">
        <v>28</v>
      </c>
      <c r="E41">
        <v>1.5</v>
      </c>
    </row>
    <row r="42" spans="1:6" ht="18" customHeight="1">
      <c r="A42" s="2" t="s">
        <v>66</v>
      </c>
      <c r="B42" s="2" t="s">
        <v>67</v>
      </c>
      <c r="C42">
        <v>2</v>
      </c>
      <c r="D42">
        <v>35</v>
      </c>
      <c r="E42">
        <v>1.2</v>
      </c>
    </row>
    <row r="43" spans="1:6" ht="18" customHeight="1">
      <c r="A43" s="2" t="s">
        <v>68</v>
      </c>
      <c r="B43" s="2" t="s">
        <v>69</v>
      </c>
      <c r="C43">
        <v>8</v>
      </c>
      <c r="D43">
        <v>21</v>
      </c>
      <c r="E43">
        <v>6</v>
      </c>
    </row>
    <row r="44" spans="1:6" ht="18" customHeight="1">
      <c r="A44" s="2" t="s">
        <v>70</v>
      </c>
      <c r="B44" s="2" t="s">
        <v>71</v>
      </c>
      <c r="C44">
        <v>2.2000000000000002</v>
      </c>
      <c r="D44">
        <v>21</v>
      </c>
      <c r="E44">
        <v>6</v>
      </c>
    </row>
    <row r="45" spans="1:6" ht="18" customHeight="1">
      <c r="A45" s="2" t="s">
        <v>72</v>
      </c>
      <c r="B45" s="2" t="s">
        <v>73</v>
      </c>
      <c r="C45">
        <v>1</v>
      </c>
      <c r="D45">
        <v>42</v>
      </c>
      <c r="E45">
        <v>1</v>
      </c>
    </row>
    <row r="46" spans="1:6" ht="18" customHeight="1">
      <c r="A46" s="2" t="s">
        <v>74</v>
      </c>
      <c r="B46" s="2" t="s">
        <v>75</v>
      </c>
      <c r="C46">
        <v>2.6</v>
      </c>
      <c r="D46">
        <v>42</v>
      </c>
      <c r="E46">
        <v>1</v>
      </c>
    </row>
    <row r="47" spans="1:6" ht="18" customHeight="1">
      <c r="A47" s="2" t="s">
        <v>76</v>
      </c>
      <c r="B47" s="2" t="s">
        <v>77</v>
      </c>
      <c r="C47">
        <v>4</v>
      </c>
      <c r="D47" t="s">
        <v>301</v>
      </c>
      <c r="E47">
        <v>1</v>
      </c>
    </row>
    <row r="48" spans="1:6" ht="18" customHeight="1">
      <c r="A48" s="2" t="s">
        <v>78</v>
      </c>
      <c r="B48" s="2" t="s">
        <v>19</v>
      </c>
      <c r="C48">
        <v>2.4</v>
      </c>
      <c r="D48">
        <v>28</v>
      </c>
      <c r="E48">
        <v>3</v>
      </c>
    </row>
    <row r="49" spans="1:6" ht="18" customHeight="1">
      <c r="A49" s="2" t="s">
        <v>79</v>
      </c>
      <c r="B49" s="2" t="s">
        <v>80</v>
      </c>
      <c r="C49">
        <v>1.4</v>
      </c>
      <c r="D49">
        <v>28</v>
      </c>
      <c r="E49">
        <v>1</v>
      </c>
    </row>
    <row r="50" spans="1:6" ht="18" customHeight="1">
      <c r="A50" s="2" t="s">
        <v>81</v>
      </c>
      <c r="B50" s="2" t="s">
        <v>82</v>
      </c>
      <c r="C50">
        <v>2</v>
      </c>
      <c r="D50" t="s">
        <v>301</v>
      </c>
      <c r="E50">
        <v>12</v>
      </c>
      <c r="F50" t="s">
        <v>304</v>
      </c>
    </row>
    <row r="51" spans="1:6" ht="18" customHeight="1">
      <c r="A51" s="2" t="s">
        <v>83</v>
      </c>
      <c r="B51" s="2" t="s">
        <v>84</v>
      </c>
      <c r="C51">
        <v>8</v>
      </c>
      <c r="D51" t="s">
        <v>301</v>
      </c>
      <c r="E51">
        <v>2</v>
      </c>
      <c r="F51" t="s">
        <v>304</v>
      </c>
    </row>
    <row r="52" spans="1:6" ht="18" customHeight="1">
      <c r="A52" s="2" t="s">
        <v>85</v>
      </c>
      <c r="B52" s="2" t="s">
        <v>86</v>
      </c>
      <c r="C52">
        <v>1.7</v>
      </c>
      <c r="D52">
        <v>42</v>
      </c>
      <c r="E52">
        <v>24</v>
      </c>
    </row>
    <row r="53" spans="1:6" ht="18" customHeight="1">
      <c r="A53" s="2" t="s">
        <v>87</v>
      </c>
      <c r="B53" s="2" t="s">
        <v>88</v>
      </c>
      <c r="C53">
        <v>1.1000000000000001</v>
      </c>
      <c r="D53">
        <v>21</v>
      </c>
      <c r="E53">
        <v>6</v>
      </c>
    </row>
    <row r="54" spans="1:6" ht="18" customHeight="1">
      <c r="A54" s="2" t="s">
        <v>89</v>
      </c>
      <c r="B54" s="2" t="s">
        <v>90</v>
      </c>
      <c r="C54">
        <v>4</v>
      </c>
      <c r="D54">
        <v>28</v>
      </c>
      <c r="E54">
        <v>0.33</v>
      </c>
    </row>
    <row r="55" spans="1:6" ht="18" customHeight="1">
      <c r="A55" s="2" t="s">
        <v>91</v>
      </c>
      <c r="B55" s="2" t="s">
        <v>92</v>
      </c>
      <c r="C55">
        <v>8</v>
      </c>
      <c r="D55">
        <v>28</v>
      </c>
      <c r="E55">
        <v>0.33</v>
      </c>
    </row>
    <row r="56" spans="1:6" ht="18" customHeight="1">
      <c r="A56" s="2" t="s">
        <v>93</v>
      </c>
      <c r="B56" s="2" t="s">
        <v>92</v>
      </c>
      <c r="C56">
        <v>8</v>
      </c>
      <c r="D56">
        <v>28</v>
      </c>
      <c r="E56">
        <v>0.33</v>
      </c>
    </row>
    <row r="57" spans="1:6" ht="18" customHeight="1">
      <c r="A57" s="2" t="s">
        <v>94</v>
      </c>
      <c r="B57" s="2" t="s">
        <v>30</v>
      </c>
      <c r="C57">
        <v>2.5</v>
      </c>
      <c r="D57" t="s">
        <v>184</v>
      </c>
      <c r="E57">
        <v>1</v>
      </c>
    </row>
    <row r="58" spans="1:6" ht="18" customHeight="1">
      <c r="A58" s="2" t="s">
        <v>95</v>
      </c>
      <c r="B58" s="2" t="s">
        <v>96</v>
      </c>
      <c r="C58">
        <v>4</v>
      </c>
      <c r="D58">
        <v>28</v>
      </c>
      <c r="E58">
        <v>0.67</v>
      </c>
    </row>
    <row r="59" spans="1:6" ht="18" customHeight="1">
      <c r="A59" s="2" t="s">
        <v>97</v>
      </c>
      <c r="B59" s="2" t="s">
        <v>98</v>
      </c>
      <c r="C59">
        <v>4</v>
      </c>
      <c r="D59">
        <v>28</v>
      </c>
      <c r="E59">
        <v>0.67</v>
      </c>
    </row>
    <row r="60" spans="1:6" ht="18" customHeight="1">
      <c r="A60" s="2" t="s">
        <v>99</v>
      </c>
      <c r="B60" s="2" t="s">
        <v>84</v>
      </c>
      <c r="C60">
        <v>8</v>
      </c>
      <c r="D60" t="s">
        <v>301</v>
      </c>
      <c r="E60">
        <v>3</v>
      </c>
      <c r="F60" t="s">
        <v>304</v>
      </c>
    </row>
    <row r="61" spans="1:6" ht="18" customHeight="1">
      <c r="A61" s="2" t="s">
        <v>100</v>
      </c>
      <c r="B61" s="2" t="s">
        <v>101</v>
      </c>
      <c r="C61">
        <v>2.7</v>
      </c>
      <c r="D61">
        <v>28</v>
      </c>
      <c r="E61">
        <v>0.33</v>
      </c>
    </row>
    <row r="62" spans="1:6" ht="18" customHeight="1">
      <c r="A62" s="2"/>
      <c r="B62" s="2"/>
    </row>
    <row r="63" spans="1:6" ht="18" customHeight="1">
      <c r="A63" s="3" t="s">
        <v>102</v>
      </c>
      <c r="B63" s="2"/>
    </row>
    <row r="64" spans="1:6" ht="18" customHeight="1">
      <c r="A64" s="2" t="s">
        <v>103</v>
      </c>
      <c r="B64" s="2" t="s">
        <v>104</v>
      </c>
      <c r="C64">
        <v>4.5</v>
      </c>
    </row>
    <row r="65" spans="1:3" ht="18" customHeight="1">
      <c r="A65" s="2" t="s">
        <v>105</v>
      </c>
      <c r="B65" s="2" t="s">
        <v>106</v>
      </c>
      <c r="C65">
        <v>4.5</v>
      </c>
    </row>
    <row r="66" spans="1:3" ht="18" customHeight="1">
      <c r="A66" s="2" t="s">
        <v>107</v>
      </c>
      <c r="B66" s="2" t="s">
        <v>108</v>
      </c>
      <c r="C66">
        <v>4</v>
      </c>
    </row>
    <row r="67" spans="1:3" ht="18" customHeight="1">
      <c r="A67" s="2" t="s">
        <v>109</v>
      </c>
      <c r="B67" s="2" t="s">
        <v>110</v>
      </c>
      <c r="C67">
        <v>2.5</v>
      </c>
    </row>
    <row r="68" spans="1:3" ht="18" customHeight="1">
      <c r="A68" s="2" t="s">
        <v>111</v>
      </c>
      <c r="B68" s="2" t="s">
        <v>77</v>
      </c>
      <c r="C68">
        <v>4</v>
      </c>
    </row>
    <row r="69" spans="1:3" ht="18" customHeight="1">
      <c r="A69" s="2"/>
      <c r="B69" s="2"/>
    </row>
    <row r="70" spans="1:3" ht="18" customHeight="1">
      <c r="A70" s="2"/>
      <c r="B70" s="2"/>
    </row>
    <row r="71" spans="1:3" ht="18" customHeight="1">
      <c r="A71" s="3" t="s">
        <v>112</v>
      </c>
      <c r="B71" s="2"/>
    </row>
    <row r="72" spans="1:3" ht="18" customHeight="1">
      <c r="A72" s="2" t="s">
        <v>113</v>
      </c>
      <c r="B72" s="2" t="s">
        <v>114</v>
      </c>
      <c r="C72">
        <v>2</v>
      </c>
    </row>
    <row r="73" spans="1:3" ht="18" customHeight="1">
      <c r="A73" s="2" t="s">
        <v>115</v>
      </c>
      <c r="B73" s="2" t="s">
        <v>116</v>
      </c>
      <c r="C73">
        <v>25</v>
      </c>
    </row>
    <row r="74" spans="1:3" ht="18" customHeight="1">
      <c r="A74" s="2" t="s">
        <v>117</v>
      </c>
      <c r="B74" s="2" t="s">
        <v>114</v>
      </c>
      <c r="C74">
        <v>2</v>
      </c>
    </row>
    <row r="75" spans="1:3" ht="18" customHeight="1">
      <c r="A75" s="2" t="s">
        <v>118</v>
      </c>
      <c r="B75" s="2" t="s">
        <v>116</v>
      </c>
      <c r="C75">
        <v>2.5</v>
      </c>
    </row>
    <row r="76" spans="1:3" ht="18" customHeight="1">
      <c r="A76" s="2" t="s">
        <v>119</v>
      </c>
      <c r="B76" s="2" t="s">
        <v>114</v>
      </c>
      <c r="C76">
        <v>2</v>
      </c>
    </row>
    <row r="77" spans="1:3" ht="18" customHeight="1">
      <c r="A77" s="2" t="s">
        <v>120</v>
      </c>
      <c r="B77" s="2" t="s">
        <v>121</v>
      </c>
      <c r="C77">
        <v>2</v>
      </c>
    </row>
    <row r="78" spans="1:3" ht="18" customHeight="1">
      <c r="A78" s="2" t="s">
        <v>122</v>
      </c>
      <c r="B78" s="2" t="s">
        <v>114</v>
      </c>
      <c r="C78">
        <v>2</v>
      </c>
    </row>
    <row r="79" spans="1:3" ht="18" customHeight="1">
      <c r="A79" s="2" t="s">
        <v>123</v>
      </c>
      <c r="B79" s="2" t="s">
        <v>114</v>
      </c>
      <c r="C79">
        <v>2</v>
      </c>
    </row>
    <row r="80" spans="1:3" ht="18" customHeight="1">
      <c r="A80" s="2" t="s">
        <v>124</v>
      </c>
      <c r="B80" s="2" t="s">
        <v>125</v>
      </c>
      <c r="C80">
        <v>1</v>
      </c>
    </row>
    <row r="81" spans="1:3" ht="18" customHeight="1">
      <c r="A81" s="2" t="s">
        <v>126</v>
      </c>
      <c r="B81" s="2" t="s">
        <v>114</v>
      </c>
      <c r="C81">
        <v>2</v>
      </c>
    </row>
    <row r="82" spans="1:3" ht="18" customHeight="1">
      <c r="A82" s="2" t="s">
        <v>127</v>
      </c>
      <c r="B82" s="2" t="s">
        <v>128</v>
      </c>
      <c r="C82">
        <v>3.5</v>
      </c>
    </row>
    <row r="83" spans="1:3" ht="18" customHeight="1">
      <c r="A83" s="2" t="s">
        <v>129</v>
      </c>
      <c r="B83" s="2" t="s">
        <v>130</v>
      </c>
    </row>
    <row r="84" spans="1:3" ht="18" customHeight="1">
      <c r="A84" s="2"/>
      <c r="B84" s="2"/>
    </row>
    <row r="85" spans="1:3" ht="18" customHeight="1">
      <c r="A85" s="3" t="s">
        <v>131</v>
      </c>
      <c r="B85" s="2"/>
    </row>
    <row r="86" spans="1:3" ht="18" customHeight="1">
      <c r="A86" s="2" t="s">
        <v>132</v>
      </c>
      <c r="B86" s="2" t="s">
        <v>133</v>
      </c>
      <c r="C86">
        <v>0.2</v>
      </c>
    </row>
    <row r="87" spans="1:3" ht="18" customHeight="1">
      <c r="A87" s="2" t="s">
        <v>134</v>
      </c>
      <c r="B87" s="2" t="s">
        <v>133</v>
      </c>
      <c r="C87">
        <v>0.2</v>
      </c>
    </row>
    <row r="88" spans="1:3" ht="18" customHeight="1">
      <c r="A88" s="2" t="s">
        <v>135</v>
      </c>
      <c r="B88" s="2" t="s">
        <v>133</v>
      </c>
      <c r="C88">
        <v>0.2</v>
      </c>
    </row>
    <row r="89" spans="1:3" ht="18" customHeight="1">
      <c r="A89" s="2" t="s">
        <v>136</v>
      </c>
      <c r="B89" s="2" t="s">
        <v>133</v>
      </c>
      <c r="C89">
        <v>0.2</v>
      </c>
    </row>
    <row r="90" spans="1:3" ht="18" customHeight="1">
      <c r="A90" s="2" t="s">
        <v>137</v>
      </c>
      <c r="B90" s="2" t="s">
        <v>133</v>
      </c>
      <c r="C90">
        <v>0.2</v>
      </c>
    </row>
    <row r="91" spans="1:3" ht="18" customHeight="1">
      <c r="A91" s="2" t="s">
        <v>138</v>
      </c>
      <c r="B91" s="2" t="s">
        <v>133</v>
      </c>
      <c r="C91">
        <v>0.2</v>
      </c>
    </row>
    <row r="92" spans="1:3" ht="18" customHeight="1">
      <c r="A92" s="2" t="s">
        <v>139</v>
      </c>
      <c r="B92" s="2" t="s">
        <v>133</v>
      </c>
      <c r="C92">
        <v>0.2</v>
      </c>
    </row>
    <row r="93" spans="1:3" ht="18" customHeight="1">
      <c r="A93" s="2" t="s">
        <v>140</v>
      </c>
      <c r="B93" s="2" t="s">
        <v>133</v>
      </c>
      <c r="C93">
        <v>0.2</v>
      </c>
    </row>
    <row r="94" spans="1:3" ht="18" customHeight="1">
      <c r="A94" s="2" t="s">
        <v>141</v>
      </c>
      <c r="B94" s="2" t="s">
        <v>133</v>
      </c>
      <c r="C94">
        <v>0.2</v>
      </c>
    </row>
    <row r="95" spans="1:3" ht="18" customHeight="1">
      <c r="A95" s="2" t="s">
        <v>142</v>
      </c>
      <c r="B95" s="2" t="s">
        <v>133</v>
      </c>
      <c r="C95">
        <v>0.2</v>
      </c>
    </row>
    <row r="96" spans="1:3" ht="18" customHeight="1">
      <c r="A96" s="2" t="s">
        <v>143</v>
      </c>
      <c r="B96" s="2" t="s">
        <v>133</v>
      </c>
      <c r="C96">
        <v>0.2</v>
      </c>
    </row>
    <row r="97" spans="1:3" ht="18" customHeight="1">
      <c r="A97" s="2" t="s">
        <v>144</v>
      </c>
      <c r="B97" s="2" t="s">
        <v>133</v>
      </c>
      <c r="C97">
        <v>0.2</v>
      </c>
    </row>
    <row r="98" spans="1:3" ht="18" customHeight="1">
      <c r="A98" s="2" t="s">
        <v>145</v>
      </c>
      <c r="B98" s="2" t="s">
        <v>133</v>
      </c>
      <c r="C98">
        <v>0.2</v>
      </c>
    </row>
    <row r="99" spans="1:3" ht="18" customHeight="1">
      <c r="A99" s="2" t="s">
        <v>146</v>
      </c>
      <c r="B99" s="2" t="s">
        <v>133</v>
      </c>
      <c r="C99">
        <v>0.2</v>
      </c>
    </row>
    <row r="100" spans="1:3" ht="18" customHeight="1">
      <c r="A100" s="2" t="s">
        <v>147</v>
      </c>
      <c r="B100" s="2" t="s">
        <v>133</v>
      </c>
      <c r="C100">
        <v>0.2</v>
      </c>
    </row>
    <row r="101" spans="1:3" ht="18" customHeight="1">
      <c r="A101" s="2" t="s">
        <v>148</v>
      </c>
      <c r="B101" s="2" t="s">
        <v>133</v>
      </c>
      <c r="C101">
        <v>0.2</v>
      </c>
    </row>
    <row r="102" spans="1:3" ht="18" customHeight="1">
      <c r="A102" s="2" t="s">
        <v>149</v>
      </c>
      <c r="B102" s="2" t="s">
        <v>133</v>
      </c>
      <c r="C102">
        <v>0.2</v>
      </c>
    </row>
    <row r="103" spans="1:3" ht="18" customHeight="1">
      <c r="A103" s="2" t="s">
        <v>150</v>
      </c>
      <c r="B103" s="2" t="s">
        <v>133</v>
      </c>
      <c r="C103">
        <v>0.2</v>
      </c>
    </row>
    <row r="104" spans="1:3" ht="18" customHeight="1">
      <c r="A104" s="2" t="s">
        <v>151</v>
      </c>
      <c r="B104" s="2" t="s">
        <v>133</v>
      </c>
      <c r="C104">
        <v>0.2</v>
      </c>
    </row>
    <row r="105" spans="1:3" ht="18" customHeight="1">
      <c r="A105" s="2" t="s">
        <v>152</v>
      </c>
      <c r="B105" s="2" t="s">
        <v>133</v>
      </c>
      <c r="C105">
        <v>0.2</v>
      </c>
    </row>
    <row r="106" spans="1:3" ht="18" customHeight="1">
      <c r="A106" s="2" t="s">
        <v>153</v>
      </c>
      <c r="B106" s="2" t="s">
        <v>133</v>
      </c>
      <c r="C106">
        <v>0.2</v>
      </c>
    </row>
    <row r="107" spans="1:3" ht="18" customHeight="1">
      <c r="A107" s="2" t="s">
        <v>154</v>
      </c>
      <c r="B107" s="2" t="s">
        <v>133</v>
      </c>
      <c r="C107">
        <v>0.2</v>
      </c>
    </row>
    <row r="108" spans="1:3" ht="18" customHeight="1">
      <c r="A108" s="2" t="s">
        <v>155</v>
      </c>
      <c r="B108" s="2" t="s">
        <v>133</v>
      </c>
      <c r="C108">
        <v>0.2</v>
      </c>
    </row>
    <row r="109" spans="1:3" ht="18" customHeight="1">
      <c r="A109" s="2" t="s">
        <v>156</v>
      </c>
      <c r="B109" s="2" t="s">
        <v>133</v>
      </c>
      <c r="C109">
        <v>0.2</v>
      </c>
    </row>
    <row r="110" spans="1:3" ht="18" customHeight="1">
      <c r="A110" s="2"/>
      <c r="B110" s="2"/>
    </row>
    <row r="111" spans="1:3" ht="18" customHeight="1">
      <c r="A111" s="2"/>
      <c r="B111" s="2"/>
    </row>
    <row r="112" spans="1:3" ht="18" customHeight="1">
      <c r="A112" s="3" t="s">
        <v>157</v>
      </c>
      <c r="B112" s="2"/>
    </row>
    <row r="113" spans="1:3" ht="18" customHeight="1">
      <c r="A113" s="2" t="s">
        <v>158</v>
      </c>
      <c r="B113" s="2" t="s">
        <v>159</v>
      </c>
      <c r="C113">
        <v>1</v>
      </c>
    </row>
    <row r="114" spans="1:3" ht="18" customHeight="1">
      <c r="A114" s="2" t="s">
        <v>160</v>
      </c>
      <c r="B114" s="2" t="s">
        <v>161</v>
      </c>
      <c r="C114">
        <v>6</v>
      </c>
    </row>
    <row r="115" spans="1:3" ht="18" customHeight="1">
      <c r="A115" s="2" t="s">
        <v>162</v>
      </c>
      <c r="B115" s="2" t="s">
        <v>163</v>
      </c>
      <c r="C115">
        <v>6</v>
      </c>
    </row>
    <row r="116" spans="1:3" ht="18" customHeight="1">
      <c r="A116" s="2" t="s">
        <v>164</v>
      </c>
      <c r="B116" s="2" t="s">
        <v>165</v>
      </c>
      <c r="C116">
        <v>2.5</v>
      </c>
    </row>
    <row r="117" spans="1:3" ht="18" customHeight="1">
      <c r="A117" s="2" t="s">
        <v>166</v>
      </c>
      <c r="B117" s="2" t="s">
        <v>167</v>
      </c>
    </row>
    <row r="118" spans="1:3" ht="18" customHeight="1">
      <c r="A118" s="2" t="s">
        <v>168</v>
      </c>
      <c r="B118" s="2" t="s">
        <v>163</v>
      </c>
      <c r="C118">
        <v>6</v>
      </c>
    </row>
    <row r="119" spans="1:3" ht="18" customHeight="1">
      <c r="A119" s="2" t="s">
        <v>169</v>
      </c>
      <c r="B119" s="2" t="s">
        <v>170</v>
      </c>
      <c r="C119">
        <v>3</v>
      </c>
    </row>
    <row r="120" spans="1:3" ht="18" customHeight="1">
      <c r="A120" s="2" t="s">
        <v>171</v>
      </c>
      <c r="B120" s="2" t="s">
        <v>159</v>
      </c>
      <c r="C120">
        <v>1</v>
      </c>
    </row>
    <row r="121" spans="1:3" ht="18" customHeight="1">
      <c r="A121" s="2" t="s">
        <v>172</v>
      </c>
      <c r="B121" s="2" t="s">
        <v>114</v>
      </c>
      <c r="C121">
        <v>2</v>
      </c>
    </row>
    <row r="122" spans="1:3" ht="18" customHeight="1">
      <c r="A122" s="2" t="s">
        <v>173</v>
      </c>
      <c r="B122" s="2" t="s">
        <v>174</v>
      </c>
      <c r="C122">
        <v>6</v>
      </c>
    </row>
    <row r="123" spans="1:3" ht="18" customHeight="1">
      <c r="A123" s="2" t="s">
        <v>175</v>
      </c>
      <c r="B123" s="2" t="s">
        <v>176</v>
      </c>
      <c r="C123">
        <v>6</v>
      </c>
    </row>
    <row r="124" spans="1:3" ht="18" customHeight="1">
      <c r="A124" s="2" t="s">
        <v>177</v>
      </c>
      <c r="B124" s="2" t="s">
        <v>159</v>
      </c>
      <c r="C124">
        <v>1</v>
      </c>
    </row>
    <row r="125" spans="1:3" ht="18" customHeight="1">
      <c r="A125" s="2"/>
      <c r="B125" s="2"/>
    </row>
    <row r="126" spans="1:3" ht="18" customHeight="1">
      <c r="A126" s="2"/>
      <c r="B126" s="2"/>
    </row>
    <row r="127" spans="1:3" ht="18" customHeight="1">
      <c r="A127" s="3" t="s">
        <v>178</v>
      </c>
      <c r="B127" s="2"/>
    </row>
    <row r="128" spans="1:3" ht="18" customHeight="1">
      <c r="A128" s="2" t="s">
        <v>179</v>
      </c>
      <c r="B128" s="2" t="s">
        <v>180</v>
      </c>
      <c r="C128">
        <v>2.5</v>
      </c>
    </row>
    <row r="129" spans="1:4" ht="18" customHeight="1">
      <c r="A129" s="2" t="s">
        <v>181</v>
      </c>
      <c r="B129" s="2" t="s">
        <v>182</v>
      </c>
      <c r="C129">
        <v>4</v>
      </c>
    </row>
    <row r="130" spans="1:4" ht="18" customHeight="1">
      <c r="A130" s="2" t="s">
        <v>183</v>
      </c>
      <c r="B130" s="2" t="s">
        <v>184</v>
      </c>
    </row>
    <row r="131" spans="1:4" ht="18" customHeight="1">
      <c r="A131" s="2" t="s">
        <v>185</v>
      </c>
      <c r="B131" s="2" t="s">
        <v>186</v>
      </c>
      <c r="C131">
        <v>6</v>
      </c>
    </row>
    <row r="136" spans="1:4" s="4" customFormat="1" ht="43" customHeight="1">
      <c r="A136" s="4" t="s">
        <v>207</v>
      </c>
      <c r="B136" s="4" t="s">
        <v>209</v>
      </c>
      <c r="C136" s="4" t="s">
        <v>210</v>
      </c>
      <c r="D136" s="4" t="s">
        <v>208</v>
      </c>
    </row>
    <row r="137" spans="1:4" ht="18" customHeight="1">
      <c r="A137" s="9" t="s">
        <v>12</v>
      </c>
      <c r="B137" s="9" t="s">
        <v>198</v>
      </c>
      <c r="C137" s="9" t="s">
        <v>13</v>
      </c>
      <c r="D137">
        <v>3.8</v>
      </c>
    </row>
    <row r="138" spans="1:4" ht="18" customHeight="1">
      <c r="A138" s="9" t="s">
        <v>16</v>
      </c>
      <c r="B138" s="9" t="s">
        <v>199</v>
      </c>
      <c r="C138" s="9" t="s">
        <v>17</v>
      </c>
      <c r="D138">
        <v>3</v>
      </c>
    </row>
    <row r="139" spans="1:4" ht="18" customHeight="1">
      <c r="A139" s="9" t="s">
        <v>18</v>
      </c>
      <c r="B139" s="9" t="s">
        <v>200</v>
      </c>
      <c r="C139" s="9" t="s">
        <v>19</v>
      </c>
      <c r="D139">
        <v>2.4</v>
      </c>
    </row>
    <row r="140" spans="1:4" ht="18" customHeight="1">
      <c r="A140" s="9" t="s">
        <v>22</v>
      </c>
      <c r="B140" s="9" t="s">
        <v>201</v>
      </c>
      <c r="C140" s="9" t="s">
        <v>23</v>
      </c>
      <c r="D140">
        <v>3</v>
      </c>
    </row>
    <row r="141" spans="1:4" ht="18" customHeight="1">
      <c r="A141" s="9" t="s">
        <v>25</v>
      </c>
      <c r="B141" s="9" t="s">
        <v>202</v>
      </c>
      <c r="C141" s="9" t="s">
        <v>26</v>
      </c>
      <c r="D141">
        <v>2.2000000000000002</v>
      </c>
    </row>
    <row r="142" spans="1:4" ht="18" customHeight="1">
      <c r="A142" s="9" t="s">
        <v>29</v>
      </c>
      <c r="B142" s="9" t="s">
        <v>202</v>
      </c>
      <c r="C142" s="9" t="s">
        <v>30</v>
      </c>
      <c r="D142">
        <v>2.5</v>
      </c>
    </row>
    <row r="143" spans="1:4" ht="18" customHeight="1">
      <c r="A143" s="9" t="s">
        <v>36</v>
      </c>
      <c r="B143" s="9" t="s">
        <v>200</v>
      </c>
      <c r="C143" s="9" t="s">
        <v>37</v>
      </c>
      <c r="D143">
        <v>2.2000000000000002</v>
      </c>
    </row>
    <row r="144" spans="1:4" ht="18" customHeight="1">
      <c r="A144" s="9" t="s">
        <v>46</v>
      </c>
      <c r="B144" s="9" t="s">
        <v>203</v>
      </c>
      <c r="C144" s="9" t="s">
        <v>47</v>
      </c>
      <c r="D144">
        <v>0.2</v>
      </c>
    </row>
    <row r="145" spans="1:4" ht="18" customHeight="1">
      <c r="A145" s="9" t="s">
        <v>204</v>
      </c>
      <c r="B145" s="9" t="s">
        <v>202</v>
      </c>
      <c r="C145" s="9" t="s">
        <v>17</v>
      </c>
      <c r="D145">
        <v>3</v>
      </c>
    </row>
    <row r="146" spans="1:4" ht="18" customHeight="1">
      <c r="A146" s="9" t="s">
        <v>63</v>
      </c>
      <c r="B146" s="9" t="s">
        <v>202</v>
      </c>
      <c r="C146" s="9" t="s">
        <v>3</v>
      </c>
      <c r="D146">
        <v>4</v>
      </c>
    </row>
    <row r="147" spans="1:4" ht="18" customHeight="1">
      <c r="A147" s="9" t="s">
        <v>68</v>
      </c>
      <c r="B147" s="9" t="s">
        <v>200</v>
      </c>
      <c r="C147" s="9" t="s">
        <v>205</v>
      </c>
      <c r="D147">
        <v>8</v>
      </c>
    </row>
    <row r="148" spans="1:4" ht="18" customHeight="1">
      <c r="A148" s="9" t="s">
        <v>76</v>
      </c>
      <c r="B148" s="9" t="s">
        <v>202</v>
      </c>
      <c r="C148" s="9" t="s">
        <v>77</v>
      </c>
      <c r="D148">
        <v>4</v>
      </c>
    </row>
    <row r="149" spans="1:4" ht="18" customHeight="1">
      <c r="A149" s="9" t="s">
        <v>83</v>
      </c>
      <c r="B149" s="9" t="s">
        <v>202</v>
      </c>
      <c r="C149" s="9" t="s">
        <v>84</v>
      </c>
      <c r="D149">
        <v>8</v>
      </c>
    </row>
    <row r="150" spans="1:4" ht="18" customHeight="1">
      <c r="A150" s="9" t="s">
        <v>93</v>
      </c>
      <c r="B150" s="9" t="s">
        <v>203</v>
      </c>
      <c r="C150" s="9" t="s">
        <v>92</v>
      </c>
      <c r="D150">
        <v>8</v>
      </c>
    </row>
    <row r="151" spans="1:4" ht="18" customHeight="1">
      <c r="A151" s="9" t="s">
        <v>91</v>
      </c>
      <c r="B151" s="9" t="s">
        <v>203</v>
      </c>
      <c r="C151" s="9" t="s">
        <v>92</v>
      </c>
      <c r="D151">
        <v>8</v>
      </c>
    </row>
    <row r="152" spans="1:4" ht="18" customHeight="1">
      <c r="A152" s="9" t="s">
        <v>94</v>
      </c>
      <c r="B152" s="9" t="s">
        <v>203</v>
      </c>
      <c r="C152" s="9" t="s">
        <v>30</v>
      </c>
      <c r="D152">
        <v>2.5</v>
      </c>
    </row>
    <row r="153" spans="1:4" ht="18" customHeight="1">
      <c r="A153" s="9" t="s">
        <v>99</v>
      </c>
      <c r="B153" s="9" t="s">
        <v>202</v>
      </c>
      <c r="C153" s="9" t="s">
        <v>101</v>
      </c>
      <c r="D153">
        <v>2.7</v>
      </c>
    </row>
    <row r="155" spans="1:4" ht="18" customHeight="1">
      <c r="A155" s="9" t="s">
        <v>316</v>
      </c>
    </row>
    <row r="156" spans="1:4" ht="18" customHeight="1">
      <c r="A156">
        <v>1</v>
      </c>
    </row>
    <row r="157" spans="1:4" ht="18" customHeight="1">
      <c r="A157">
        <v>2</v>
      </c>
    </row>
    <row r="158" spans="1:4" ht="18" customHeight="1">
      <c r="A158">
        <v>3</v>
      </c>
    </row>
    <row r="159" spans="1:4" ht="18" customHeight="1">
      <c r="A159">
        <v>4</v>
      </c>
    </row>
    <row r="160" spans="1:4" ht="18" customHeight="1">
      <c r="A160">
        <v>5</v>
      </c>
    </row>
    <row r="161" spans="1:1" ht="18" customHeight="1">
      <c r="A161">
        <v>6</v>
      </c>
    </row>
    <row r="162" spans="1:1" ht="18" customHeight="1">
      <c r="A162">
        <v>7</v>
      </c>
    </row>
    <row r="163" spans="1:1" ht="18" customHeight="1">
      <c r="A163">
        <v>8</v>
      </c>
    </row>
    <row r="164" spans="1:1" ht="18" customHeight="1">
      <c r="A164">
        <v>9</v>
      </c>
    </row>
    <row r="165" spans="1:1" ht="18" customHeight="1">
      <c r="A165">
        <v>10</v>
      </c>
    </row>
    <row r="166" spans="1:1" ht="18" customHeight="1">
      <c r="A166">
        <v>11</v>
      </c>
    </row>
    <row r="167" spans="1:1" ht="18" customHeight="1">
      <c r="A167">
        <v>12</v>
      </c>
    </row>
    <row r="168" spans="1:1" ht="18" customHeight="1">
      <c r="A168">
        <v>13</v>
      </c>
    </row>
    <row r="169" spans="1:1" ht="18" customHeight="1">
      <c r="A169">
        <v>14</v>
      </c>
    </row>
    <row r="170" spans="1:1" ht="18" customHeight="1">
      <c r="A170">
        <v>15</v>
      </c>
    </row>
    <row r="171" spans="1:1" ht="18" customHeight="1">
      <c r="A171">
        <v>16</v>
      </c>
    </row>
    <row r="172" spans="1:1" ht="18" customHeight="1">
      <c r="A172">
        <v>17</v>
      </c>
    </row>
    <row r="173" spans="1:1" ht="18" customHeight="1">
      <c r="A173">
        <v>18</v>
      </c>
    </row>
    <row r="174" spans="1:1" ht="18" customHeight="1">
      <c r="A174">
        <v>19</v>
      </c>
    </row>
    <row r="175" spans="1:1" ht="18" customHeight="1">
      <c r="A175">
        <v>20</v>
      </c>
    </row>
    <row r="176" spans="1:1" ht="18" customHeight="1">
      <c r="A176">
        <v>21</v>
      </c>
    </row>
    <row r="177" spans="1:1" ht="18" customHeight="1">
      <c r="A177">
        <v>22</v>
      </c>
    </row>
    <row r="178" spans="1:1" ht="18" customHeight="1">
      <c r="A178">
        <v>23</v>
      </c>
    </row>
    <row r="179" spans="1:1" ht="18" customHeight="1">
      <c r="A179">
        <v>24</v>
      </c>
    </row>
    <row r="180" spans="1:1" ht="18" customHeight="1">
      <c r="A180">
        <v>25</v>
      </c>
    </row>
    <row r="181" spans="1:1" ht="18" customHeight="1">
      <c r="A181">
        <v>26</v>
      </c>
    </row>
    <row r="182" spans="1:1" ht="18" customHeight="1">
      <c r="A182">
        <v>27</v>
      </c>
    </row>
    <row r="183" spans="1:1" ht="18" customHeight="1">
      <c r="A183">
        <v>28</v>
      </c>
    </row>
    <row r="184" spans="1:1" ht="18" customHeight="1">
      <c r="A184">
        <v>29</v>
      </c>
    </row>
    <row r="185" spans="1:1" ht="18" customHeight="1">
      <c r="A185">
        <v>30</v>
      </c>
    </row>
    <row r="186" spans="1:1" ht="18" customHeight="1">
      <c r="A186">
        <v>31</v>
      </c>
    </row>
    <row r="187" spans="1:1" ht="18" customHeight="1">
      <c r="A187">
        <v>32</v>
      </c>
    </row>
    <row r="188" spans="1:1" ht="18" customHeight="1">
      <c r="A188">
        <v>33</v>
      </c>
    </row>
    <row r="189" spans="1:1" ht="18" customHeight="1">
      <c r="A189">
        <v>34</v>
      </c>
    </row>
    <row r="190" spans="1:1" ht="18" customHeight="1">
      <c r="A190">
        <v>35</v>
      </c>
    </row>
    <row r="191" spans="1:1" ht="18" customHeight="1">
      <c r="A191">
        <v>36</v>
      </c>
    </row>
    <row r="192" spans="1:1" ht="18" customHeight="1">
      <c r="A192">
        <v>37</v>
      </c>
    </row>
    <row r="193" spans="1:1" ht="18" customHeight="1">
      <c r="A193">
        <v>38</v>
      </c>
    </row>
    <row r="194" spans="1:1" ht="18" customHeight="1">
      <c r="A194">
        <v>39</v>
      </c>
    </row>
    <row r="195" spans="1:1" ht="18" customHeight="1">
      <c r="A195">
        <v>40</v>
      </c>
    </row>
    <row r="196" spans="1:1" ht="18" customHeight="1">
      <c r="A196">
        <v>41</v>
      </c>
    </row>
    <row r="197" spans="1:1" ht="18" customHeight="1">
      <c r="A197">
        <v>42</v>
      </c>
    </row>
    <row r="198" spans="1:1" ht="18" customHeight="1">
      <c r="A198">
        <v>43</v>
      </c>
    </row>
    <row r="199" spans="1:1" ht="18" customHeight="1">
      <c r="A199">
        <v>44</v>
      </c>
    </row>
    <row r="200" spans="1:1" ht="18" customHeight="1">
      <c r="A200">
        <v>45</v>
      </c>
    </row>
    <row r="201" spans="1:1" ht="18" customHeight="1">
      <c r="A201">
        <v>46</v>
      </c>
    </row>
    <row r="202" spans="1:1" ht="18" customHeight="1">
      <c r="A202">
        <v>47</v>
      </c>
    </row>
    <row r="203" spans="1:1" ht="18" customHeight="1">
      <c r="A203">
        <v>48</v>
      </c>
    </row>
    <row r="204" spans="1:1" ht="18" customHeight="1">
      <c r="A204">
        <v>49</v>
      </c>
    </row>
    <row r="205" spans="1:1" ht="18" customHeight="1">
      <c r="A205">
        <v>50</v>
      </c>
    </row>
    <row r="206" spans="1:1" ht="18" customHeight="1">
      <c r="A206">
        <v>51</v>
      </c>
    </row>
    <row r="207" spans="1:1" ht="18" customHeight="1">
      <c r="A207">
        <v>52</v>
      </c>
    </row>
  </sheetData>
  <sheetProtection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Garden Data Entry</vt:lpstr>
      <vt:lpstr>Planting Dates</vt:lpstr>
      <vt:lpstr>Storage Crop Calculator</vt:lpstr>
      <vt:lpstr>Personal Calendar</vt:lpstr>
      <vt:lpstr>Ref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Bradley Halm</cp:lastModifiedBy>
  <cp:lastPrinted>2016-01-02T16:55:04Z</cp:lastPrinted>
  <dcterms:created xsi:type="dcterms:W3CDTF">2016-01-02T16:34:37Z</dcterms:created>
  <dcterms:modified xsi:type="dcterms:W3CDTF">2016-01-29T20:03:52Z</dcterms:modified>
</cp:coreProperties>
</file>